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rapped" sheetId="1" r:id="rId5"/>
    <sheet state="visible" name="Check-in" sheetId="2" r:id="rId6"/>
    <sheet state="visible" name="September 2026" sheetId="3" r:id="rId7"/>
    <sheet state="visible" name="August 2026" sheetId="4" r:id="rId8"/>
    <sheet state="visible" name="July 2026" sheetId="5" r:id="rId9"/>
    <sheet state="visible" name="June 2026" sheetId="6" r:id="rId10"/>
    <sheet state="visible" name="May 2026" sheetId="7" r:id="rId11"/>
    <sheet state="visible" name="April 2026" sheetId="8" r:id="rId12"/>
    <sheet state="visible" name="March 2026" sheetId="9" r:id="rId13"/>
    <sheet state="visible" name="February 2026" sheetId="10" r:id="rId14"/>
    <sheet state="visible" name="January 2026" sheetId="11" r:id="rId15"/>
    <sheet state="visible" name="December 2025" sheetId="12" r:id="rId16"/>
    <sheet state="visible" name="November 2025" sheetId="13" r:id="rId17"/>
    <sheet state="visible" name="October 2025" sheetId="14" r:id="rId18"/>
    <sheet state="visible" name="September 2025" sheetId="15" r:id="rId19"/>
    <sheet state="visible" name="August 2025" sheetId="16" r:id="rId20"/>
    <sheet state="visible" name="July 2025" sheetId="17" r:id="rId21"/>
    <sheet state="visible" name="June 2025" sheetId="18" r:id="rId22"/>
    <sheet state="visible" name="May 2025" sheetId="19" r:id="rId23"/>
    <sheet state="visible" name="April 2025" sheetId="20" r:id="rId24"/>
    <sheet state="visible" name="March 2025" sheetId="21" r:id="rId25"/>
    <sheet state="visible" name="February 2025" sheetId="22" r:id="rId26"/>
    <sheet state="visible" name="January 2025" sheetId="23" r:id="rId27"/>
    <sheet state="visible" name="December 2024" sheetId="24" r:id="rId28"/>
    <sheet state="visible" name="November 2024" sheetId="25" r:id="rId29"/>
    <sheet state="visible" name="October 2024" sheetId="26" r:id="rId30"/>
    <sheet state="visible" name="September 2024" sheetId="27" r:id="rId31"/>
    <sheet state="visible" name="August 2024" sheetId="28" r:id="rId32"/>
    <sheet state="visible" name="July 2024" sheetId="29" r:id="rId33"/>
    <sheet state="visible" name="June 2024" sheetId="30" r:id="rId34"/>
    <sheet state="visible" name="May 2024" sheetId="31" r:id="rId35"/>
    <sheet state="visible" name="April 2024" sheetId="32" r:id="rId36"/>
    <sheet state="visible" name="March 2024" sheetId="33" r:id="rId37"/>
    <sheet state="visible" name="February 2024" sheetId="34" r:id="rId38"/>
    <sheet state="visible" name="January 2024" sheetId="35" r:id="rId39"/>
    <sheet state="visible" name="December 2023" sheetId="36" r:id="rId40"/>
    <sheet state="visible" name="November 2023" sheetId="37" r:id="rId41"/>
    <sheet state="visible" name="October 2023" sheetId="38" r:id="rId42"/>
    <sheet state="visible" name="September 2023" sheetId="39" r:id="rId43"/>
    <sheet state="visible" name="August 2023" sheetId="40" r:id="rId44"/>
    <sheet state="visible" name="July 2023" sheetId="41" r:id="rId45"/>
    <sheet state="visible" name="June 2023" sheetId="42" r:id="rId46"/>
    <sheet state="visible" name="May 2023" sheetId="43" r:id="rId47"/>
    <sheet state="visible" name="April 2023" sheetId="44" r:id="rId48"/>
    <sheet state="visible" name="March 2023" sheetId="45" r:id="rId49"/>
    <sheet state="visible" name="February 2023" sheetId="46" r:id="rId50"/>
    <sheet state="visible" name="January 2023" sheetId="47" r:id="rId51"/>
    <sheet state="visible" name="December 2022" sheetId="48" r:id="rId52"/>
    <sheet state="visible" name="November 2022" sheetId="49" r:id="rId53"/>
    <sheet state="visible" name="October 2022" sheetId="50" r:id="rId54"/>
    <sheet state="visible" name="September 2022" sheetId="51" r:id="rId55"/>
    <sheet state="visible" name="August 2022" sheetId="52" r:id="rId56"/>
  </sheets>
  <definedNames/>
  <calcPr/>
</workbook>
</file>

<file path=xl/sharedStrings.xml><?xml version="1.0" encoding="utf-8"?>
<sst xmlns="http://schemas.openxmlformats.org/spreadsheetml/2006/main" count="5899" uniqueCount="547">
  <si>
    <t>Salary</t>
  </si>
  <si>
    <t>Bonus</t>
  </si>
  <si>
    <t>TC</t>
  </si>
  <si>
    <t>Savings rate</t>
  </si>
  <si>
    <t>Avg. month</t>
  </si>
  <si>
    <t>I2</t>
  </si>
  <si>
    <t>Investment</t>
  </si>
  <si>
    <t>I3</t>
  </si>
  <si>
    <t>Savings</t>
  </si>
  <si>
    <t>I11</t>
  </si>
  <si>
    <t>Total</t>
  </si>
  <si>
    <t>S&amp;S ISA</t>
  </si>
  <si>
    <t>Cash ISA</t>
  </si>
  <si>
    <t>LISA</t>
  </si>
  <si>
    <t>Crypto</t>
  </si>
  <si>
    <t>Δ</t>
  </si>
  <si>
    <t>Δ%</t>
  </si>
  <si>
    <t>Pension</t>
  </si>
  <si>
    <t>Grand Total</t>
  </si>
  <si>
    <t>Notes</t>
  </si>
  <si>
    <t>Chase</t>
  </si>
  <si>
    <t>Amex</t>
  </si>
  <si>
    <t>Other</t>
  </si>
  <si>
    <t>December 2025</t>
  </si>
  <si>
    <t>January 2026</t>
  </si>
  <si>
    <t>February 2026</t>
  </si>
  <si>
    <t>March 2026</t>
  </si>
  <si>
    <t>April 2026</t>
  </si>
  <si>
    <t>US-Iran war</t>
  </si>
  <si>
    <t>May 2026</t>
  </si>
  <si>
    <t>Booked Serbia for May + July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</si>
  <si>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</si>
  <si>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</si>
  <si>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</si>
  <si>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</si>
  <si>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</si>
  <si>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</si>
  <si>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</si>
  <si>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</si>
  <si>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</si>
  <si>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March 2027</t>
  </si>
  <si>
    <t>April 2027</t>
  </si>
  <si>
    <t>Date</t>
  </si>
  <si>
    <t>Item</t>
  </si>
  <si>
    <t>Price</t>
  </si>
  <si>
    <t>Pub</t>
  </si>
  <si>
    <t>Remainder</t>
  </si>
  <si>
    <t>Sainsburys</t>
  </si>
  <si>
    <t>Day</t>
  </si>
  <si>
    <t>Acc</t>
  </si>
  <si>
    <t>Avg</t>
  </si>
  <si>
    <t>Predicted</t>
  </si>
  <si>
    <t>Takeaway</t>
  </si>
  <si>
    <t>Lidl</t>
  </si>
  <si>
    <t>Bills</t>
  </si>
  <si>
    <t>Eating out</t>
  </si>
  <si>
    <t>Coop</t>
  </si>
  <si>
    <t>Groceries</t>
  </si>
  <si>
    <t>I+S</t>
  </si>
  <si>
    <t>Waitrose</t>
  </si>
  <si>
    <t>Marley bday flights (holiday)</t>
  </si>
  <si>
    <t>Entertainment</t>
  </si>
  <si>
    <t>Tesco</t>
  </si>
  <si>
    <t>Phone (Bills)</t>
  </si>
  <si>
    <t>Clothes</t>
  </si>
  <si>
    <t>Income</t>
  </si>
  <si>
    <t>M&amp;S</t>
  </si>
  <si>
    <t>Gym (Sport)</t>
  </si>
  <si>
    <t>Total Spending</t>
  </si>
  <si>
    <t>Aldi</t>
  </si>
  <si>
    <t>Music (Entertainment)</t>
  </si>
  <si>
    <t>Train</t>
  </si>
  <si>
    <t>Subtotal</t>
  </si>
  <si>
    <t>Uber</t>
  </si>
  <si>
    <t>Misc</t>
  </si>
  <si>
    <t>Sport</t>
  </si>
  <si>
    <t>Coffee</t>
  </si>
  <si>
    <t>Holiday</t>
  </si>
  <si>
    <t>Scotland flight (holiday)</t>
  </si>
  <si>
    <t>Serbia flight (holiday)</t>
  </si>
  <si>
    <t>Hiking (Holiday)</t>
  </si>
  <si>
    <t>Ella birthday present</t>
  </si>
  <si>
    <t>Book (entertainment)</t>
  </si>
  <si>
    <t>VPN</t>
  </si>
  <si>
    <t>Vape</t>
  </si>
  <si>
    <t>Lunch (takeaway)</t>
  </si>
  <si>
    <t>Wine tasting</t>
  </si>
  <si>
    <t>Game (entertainment)</t>
  </si>
  <si>
    <t>Tfl (train)</t>
  </si>
  <si>
    <t>Lottery</t>
  </si>
  <si>
    <t>Lunch (eating out)</t>
  </si>
  <si>
    <t>Pants (clothes)</t>
  </si>
  <si>
    <t>TfL (train)</t>
  </si>
  <si>
    <t>Dinner (eating out)</t>
  </si>
  <si>
    <t>Abbey</t>
  </si>
  <si>
    <t>Breakfast (eating out)</t>
  </si>
  <si>
    <t>Bus</t>
  </si>
  <si>
    <t>Gifts</t>
  </si>
  <si>
    <t>Thermos</t>
  </si>
  <si>
    <t>Insoles</t>
  </si>
  <si>
    <t>Games (entertainment)</t>
  </si>
  <si>
    <t>Eyedrops</t>
  </si>
  <si>
    <t>Padel (sport)</t>
  </si>
  <si>
    <t>opencode</t>
  </si>
  <si>
    <t>Predicted remainder</t>
  </si>
  <si>
    <t>e-reader</t>
  </si>
  <si>
    <t>Train (tfl)</t>
  </si>
  <si>
    <t>Railcard</t>
  </si>
  <si>
    <t>AW</t>
  </si>
  <si>
    <t>Walking shoes (clothes)</t>
  </si>
  <si>
    <t>Haircut</t>
  </si>
  <si>
    <t>Noir app</t>
  </si>
  <si>
    <t>ChatGPT</t>
  </si>
  <si>
    <t>Train (Folkestone)</t>
  </si>
  <si>
    <t>NYT (entertainment)</t>
  </si>
  <si>
    <t>Netflix (Entertainment)</t>
  </si>
  <si>
    <t>Japan book</t>
  </si>
  <si>
    <t>Charity</t>
  </si>
  <si>
    <t>Tennis shoes (sport)</t>
  </si>
  <si>
    <t>Book</t>
  </si>
  <si>
    <t>Debrid (entertainment)</t>
  </si>
  <si>
    <t>Mother's day gift</t>
  </si>
  <si>
    <t>Leo gift</t>
  </si>
  <si>
    <t>Phone case</t>
  </si>
  <si>
    <t>Cinema (entertainment)</t>
  </si>
  <si>
    <t>Habitkit</t>
  </si>
  <si>
    <t>Pool table</t>
  </si>
  <si>
    <t>Tfl</t>
  </si>
  <si>
    <t>MUBI (entertainment)</t>
  </si>
  <si>
    <t>Housewarming gift</t>
  </si>
  <si>
    <t>Notebook and pens</t>
  </si>
  <si>
    <t>Gift</t>
  </si>
  <si>
    <t>Serbia flights (holiday)</t>
  </si>
  <si>
    <t>Ski pass (holiday)</t>
  </si>
  <si>
    <t>Ski hire (holiday)</t>
  </si>
  <si>
    <t>Settle up splitwise (holiday)</t>
  </si>
  <si>
    <t>Skiing flights (holiday)</t>
  </si>
  <si>
    <t>Takeaway (group)</t>
  </si>
  <si>
    <t>Bike insurance</t>
  </si>
  <si>
    <t>UNO</t>
  </si>
  <si>
    <t>Lunch</t>
  </si>
  <si>
    <t>Theatre</t>
  </si>
  <si>
    <t>Netflix (entertainment)</t>
  </si>
  <si>
    <t>Pool</t>
  </si>
  <si>
    <t>Books (entertainment)</t>
  </si>
  <si>
    <t>Holiday shopping</t>
  </si>
  <si>
    <t>Pottery course</t>
  </si>
  <si>
    <t>Ski clothes (clothes)</t>
  </si>
  <si>
    <t>SD (entertainment)</t>
  </si>
  <si>
    <t>Monitor</t>
  </si>
  <si>
    <t>Choc</t>
  </si>
  <si>
    <t>Con choir</t>
  </si>
  <si>
    <t>Christmas decorations</t>
  </si>
  <si>
    <t>Katy bday present</t>
  </si>
  <si>
    <t>Bowling</t>
  </si>
  <si>
    <t>IKEA</t>
  </si>
  <si>
    <t>Xmas gifts</t>
  </si>
  <si>
    <t>Frames+gift</t>
  </si>
  <si>
    <t>Lamp</t>
  </si>
  <si>
    <t>Macbook Air</t>
  </si>
  <si>
    <t>Pool membership</t>
  </si>
  <si>
    <t>Apple TV (entertainment)</t>
  </si>
  <si>
    <t>Clothes (party)</t>
  </si>
  <si>
    <t>tfl</t>
  </si>
  <si>
    <t>Cigs</t>
  </si>
  <si>
    <t>Games (Entertainment)</t>
  </si>
  <si>
    <t>Trip groceries</t>
  </si>
  <si>
    <t>eSIM</t>
  </si>
  <si>
    <t>TfL</t>
  </si>
  <si>
    <t>WHSmith (groceries)</t>
  </si>
  <si>
    <t>Uber (holiday)</t>
  </si>
  <si>
    <t>Birks (clothes)</t>
  </si>
  <si>
    <t>Bike</t>
  </si>
  <si>
    <t>Vietnam (holiday)</t>
  </si>
  <si>
    <t>Nov remnants (holiday)</t>
  </si>
  <si>
    <t>Other costs - flights, vaccines, etc. (holiday)</t>
  </si>
  <si>
    <t>Frying pans</t>
  </si>
  <si>
    <t>Airport train (holiday)</t>
  </si>
  <si>
    <t>Travel insurance (holiday)</t>
  </si>
  <si>
    <t>Turkey (holiday)</t>
  </si>
  <si>
    <t>Sunglasses (clothes)</t>
  </si>
  <si>
    <t>Mama bday gift</t>
  </si>
  <si>
    <t>Shopping</t>
  </si>
  <si>
    <t>Spotify (Entertainment)</t>
  </si>
  <si>
    <t>Donation</t>
  </si>
  <si>
    <t>Chocolate</t>
  </si>
  <si>
    <t>Serbia flight (Holiday)</t>
  </si>
  <si>
    <t>Fair game (entertainment)</t>
  </si>
  <si>
    <t>All Points East</t>
  </si>
  <si>
    <t>Cash</t>
  </si>
  <si>
    <t>Marley gift</t>
  </si>
  <si>
    <t xml:space="preserve">Takeaway </t>
  </si>
  <si>
    <t>App</t>
  </si>
  <si>
    <t>Economist (entertainment)</t>
  </si>
  <si>
    <t>Lunch (Eating out)</t>
  </si>
  <si>
    <t>Cinema (Entertainment)</t>
  </si>
  <si>
    <t>Chloe bday balloons</t>
  </si>
  <si>
    <t>Tennis (sport)</t>
  </si>
  <si>
    <t>Mama+Tata</t>
  </si>
  <si>
    <t>Luka bday present</t>
  </si>
  <si>
    <t>Chloe bday dinner (eating out)</t>
  </si>
  <si>
    <t xml:space="preserve">Sainsburys </t>
  </si>
  <si>
    <t>Date tokens</t>
  </si>
  <si>
    <t xml:space="preserve">Groceries </t>
  </si>
  <si>
    <t>Theatre (entertainment)</t>
  </si>
  <si>
    <t>Ice cream (eating out)</t>
  </si>
  <si>
    <t>Raph gift</t>
  </si>
  <si>
    <t>Headphones</t>
  </si>
  <si>
    <t>L</t>
  </si>
  <si>
    <t>Breakfast</t>
  </si>
  <si>
    <t>Dinner</t>
  </si>
  <si>
    <t>Tennis gear (sport)</t>
  </si>
  <si>
    <t>Book (Entertainment)</t>
  </si>
  <si>
    <t>Hiking trousers (Clothes)</t>
  </si>
  <si>
    <t>Dinner (placeholder)</t>
  </si>
  <si>
    <t>Breeze (date)</t>
  </si>
  <si>
    <t>Les Mis (Entertainment)</t>
  </si>
  <si>
    <t>Bag (Clothes)</t>
  </si>
  <si>
    <t>Manc tickets (Holiday)</t>
  </si>
  <si>
    <t>Campfire</t>
  </si>
  <si>
    <t>Tea (Groceries)</t>
  </si>
  <si>
    <t>Gamepass (Entertainment)</t>
  </si>
  <si>
    <t>Tailoring (Clothes)</t>
  </si>
  <si>
    <t>Luka stag</t>
  </si>
  <si>
    <t>Pub (Luka's stag)</t>
  </si>
  <si>
    <t>Uber (Luka's stag)</t>
  </si>
  <si>
    <t>Wedding gift</t>
  </si>
  <si>
    <t>Train (wedding)</t>
  </si>
  <si>
    <t>Shoes (Clothes)</t>
  </si>
  <si>
    <t>Voxi (mama)</t>
  </si>
  <si>
    <t>Games</t>
  </si>
  <si>
    <t>Novara</t>
  </si>
  <si>
    <t>Airfryer</t>
  </si>
  <si>
    <t>YPDS</t>
  </si>
  <si>
    <t>PDS</t>
  </si>
  <si>
    <t>ΔPDS</t>
  </si>
  <si>
    <t>WSM (Holiday)</t>
  </si>
  <si>
    <t>NYT (Entertainment)</t>
  </si>
  <si>
    <t>Drill</t>
  </si>
  <si>
    <t>Watch strap</t>
  </si>
  <si>
    <t>Streaming (Entertainment)</t>
  </si>
  <si>
    <t>Pier</t>
  </si>
  <si>
    <t>Football</t>
  </si>
  <si>
    <t>Tennis (Sport)</t>
  </si>
  <si>
    <t>Serbia flights (Holiday)</t>
  </si>
  <si>
    <t>Backpack (Clothes)</t>
  </si>
  <si>
    <t xml:space="preserve">Tfl </t>
  </si>
  <si>
    <t>Tennis (Sports)</t>
  </si>
  <si>
    <t>Apple TV (Bills)</t>
  </si>
  <si>
    <t>Boots (Clothes)</t>
  </si>
  <si>
    <t>Train (Holiday)</t>
  </si>
  <si>
    <t>Railcard (Tfl)</t>
  </si>
  <si>
    <t>Phone</t>
  </si>
  <si>
    <t>Gym</t>
  </si>
  <si>
    <t>Spotify</t>
  </si>
  <si>
    <t>IOU</t>
  </si>
  <si>
    <t>Screws</t>
  </si>
  <si>
    <t>Apple TV</t>
  </si>
  <si>
    <t>Phone protector</t>
  </si>
  <si>
    <t>Contacts</t>
  </si>
  <si>
    <t>Movie</t>
  </si>
  <si>
    <t>Maribou State</t>
  </si>
  <si>
    <t xml:space="preserve">Pub </t>
  </si>
  <si>
    <t>Shoes</t>
  </si>
  <si>
    <t>Keycaps+case</t>
  </si>
  <si>
    <t>Radisa gift</t>
  </si>
  <si>
    <t>Vitality Apple Watch</t>
  </si>
  <si>
    <t>Toothbrushes</t>
  </si>
  <si>
    <t>Ronnie Scott's</t>
  </si>
  <si>
    <t>Tata vitamins</t>
  </si>
  <si>
    <t>Eye test</t>
  </si>
  <si>
    <t>Tennis</t>
  </si>
  <si>
    <t>Eye drops</t>
  </si>
  <si>
    <t>Serbia flights</t>
  </si>
  <si>
    <t>Flight</t>
  </si>
  <si>
    <t>Mob premium</t>
  </si>
  <si>
    <t>Marley mum gift</t>
  </si>
  <si>
    <t>Epsom salt</t>
  </si>
  <si>
    <t>Move</t>
  </si>
  <si>
    <t>Amazon</t>
  </si>
  <si>
    <t xml:space="preserve">Breakfast </t>
  </si>
  <si>
    <t>Mama gift</t>
  </si>
  <si>
    <t xml:space="preserve">TfL </t>
  </si>
  <si>
    <t>France flights</t>
  </si>
  <si>
    <t>Train (Manc)</t>
  </si>
  <si>
    <t>NYE dinner</t>
  </si>
  <si>
    <t>Mama voxi</t>
  </si>
  <si>
    <t>Cloakroom</t>
  </si>
  <si>
    <t>Moka pot</t>
  </si>
  <si>
    <t>Hydromol</t>
  </si>
  <si>
    <t>Moka pot ext.</t>
  </si>
  <si>
    <t>Snack</t>
  </si>
  <si>
    <t>Netflix</t>
  </si>
  <si>
    <t>Anica Xmas</t>
  </si>
  <si>
    <t>Secret santa</t>
  </si>
  <si>
    <t>Logitech receiver</t>
  </si>
  <si>
    <t>Water bottle</t>
  </si>
  <si>
    <t>WHSmith</t>
  </si>
  <si>
    <t>Cinema</t>
  </si>
  <si>
    <t>Gift girls</t>
  </si>
  <si>
    <t>Popcorn</t>
  </si>
  <si>
    <t>Padlock</t>
  </si>
  <si>
    <t>Protein powder</t>
  </si>
  <si>
    <t>Serbia Flights (slava)</t>
  </si>
  <si>
    <t>Hair dryer</t>
  </si>
  <si>
    <t>Float tank</t>
  </si>
  <si>
    <t>Mouse pad</t>
  </si>
  <si>
    <t>Plug</t>
  </si>
  <si>
    <t>Poker</t>
  </si>
  <si>
    <t>KB switches</t>
  </si>
  <si>
    <t xml:space="preserve">Slava </t>
  </si>
  <si>
    <t xml:space="preserve">Marley bday </t>
  </si>
  <si>
    <t>Paintballing</t>
  </si>
  <si>
    <t>Raph bday</t>
  </si>
  <si>
    <t>Voxi mama</t>
  </si>
  <si>
    <t>Luka &amp; Em gift</t>
  </si>
  <si>
    <t>Zaki gift</t>
  </si>
  <si>
    <t>Bruno gift</t>
  </si>
  <si>
    <t>Tata gift</t>
  </si>
  <si>
    <t>Fridge magnet</t>
  </si>
  <si>
    <t>Skincare</t>
  </si>
  <si>
    <t>Ashwaganda</t>
  </si>
  <si>
    <t>Laptop stand</t>
  </si>
  <si>
    <t>Luka gift</t>
  </si>
  <si>
    <t>Streaming</t>
  </si>
  <si>
    <t>Windows CD key</t>
  </si>
  <si>
    <t>Dogs</t>
  </si>
  <si>
    <t>Melatonin</t>
  </si>
  <si>
    <t>Claude</t>
  </si>
  <si>
    <t>Pharmacy</t>
  </si>
  <si>
    <t>Karaoke</t>
  </si>
  <si>
    <t>Shampoo</t>
  </si>
  <si>
    <t>Protein</t>
  </si>
  <si>
    <t>Luka bday gift</t>
  </si>
  <si>
    <t>Scafell trains</t>
  </si>
  <si>
    <t>Mug</t>
  </si>
  <si>
    <t>Pharm</t>
  </si>
  <si>
    <t>Lime bike</t>
  </si>
  <si>
    <t>Chloes</t>
  </si>
  <si>
    <t>Pedallos</t>
  </si>
  <si>
    <t>NYT</t>
  </si>
  <si>
    <t>Theory app</t>
  </si>
  <si>
    <t>Snacks</t>
  </si>
  <si>
    <t>Ice cream</t>
  </si>
  <si>
    <t>Batteries</t>
  </si>
  <si>
    <t>Picnic</t>
  </si>
  <si>
    <t>Sweepstake</t>
  </si>
  <si>
    <t>Bet</t>
  </si>
  <si>
    <t>BBQ</t>
  </si>
  <si>
    <t>Shoe polish</t>
  </si>
  <si>
    <t>Watch kit</t>
  </si>
  <si>
    <t>Sleeping bag</t>
  </si>
  <si>
    <t>Eric andre</t>
  </si>
  <si>
    <t>Hiking boots</t>
  </si>
  <si>
    <t>Train tickets (Lake District)</t>
  </si>
  <si>
    <t>Pub (date)</t>
  </si>
  <si>
    <t>Saw</t>
  </si>
  <si>
    <t>Kew</t>
  </si>
  <si>
    <t>Boots</t>
  </si>
  <si>
    <t>Shuffleboard</t>
  </si>
  <si>
    <t>Dentist</t>
  </si>
  <si>
    <t>Holiday living</t>
  </si>
  <si>
    <t>Holiday data</t>
  </si>
  <si>
    <t>Poster</t>
  </si>
  <si>
    <t>Wallet</t>
  </si>
  <si>
    <t>Notepads</t>
  </si>
  <si>
    <t>Natural wines</t>
  </si>
  <si>
    <t>Oops</t>
  </si>
  <si>
    <t>Electrolytes</t>
  </si>
  <si>
    <t>Hat</t>
  </si>
  <si>
    <t>Lost</t>
  </si>
  <si>
    <t>Prints</t>
  </si>
  <si>
    <t>icloud</t>
  </si>
  <si>
    <t>Post office</t>
  </si>
  <si>
    <t>Insole</t>
  </si>
  <si>
    <t>Webcam</t>
  </si>
  <si>
    <t>Data</t>
  </si>
  <si>
    <t>Travel stuff</t>
  </si>
  <si>
    <t>Korea flights</t>
  </si>
  <si>
    <t>Korea Accom</t>
  </si>
  <si>
    <t>Airport food</t>
  </si>
  <si>
    <t>Movie tix</t>
  </si>
  <si>
    <t>Clara thanks gift</t>
  </si>
  <si>
    <t>Casio</t>
  </si>
  <si>
    <t>Manc train</t>
  </si>
  <si>
    <t>Wet wipes</t>
  </si>
  <si>
    <t>Standing desk</t>
  </si>
  <si>
    <t>Huel</t>
  </si>
  <si>
    <t>Treadmill</t>
  </si>
  <si>
    <t>Sainsubyrs</t>
  </si>
  <si>
    <t>Cinema popcorn</t>
  </si>
  <si>
    <t>Chris drink gift</t>
  </si>
  <si>
    <t>Skiing (flight)</t>
  </si>
  <si>
    <t>Skiing (car)</t>
  </si>
  <si>
    <t>Skiing (ski hire)</t>
  </si>
  <si>
    <t>Skiing (ski pass)</t>
  </si>
  <si>
    <t>Skiing (clothes hire)</t>
  </si>
  <si>
    <t>Snus</t>
  </si>
  <si>
    <t>McDonalds</t>
  </si>
  <si>
    <t>Vitamins</t>
  </si>
  <si>
    <t>Teeth whitening strips</t>
  </si>
  <si>
    <t>Whiskey za mamu i tatu</t>
  </si>
  <si>
    <t>Powerbank + plugs</t>
  </si>
  <si>
    <t>Sunscreen</t>
  </si>
  <si>
    <t>Huel greens</t>
  </si>
  <si>
    <t>Ski lesson</t>
  </si>
  <si>
    <t>Blood test</t>
  </si>
  <si>
    <t>Clothes freshener</t>
  </si>
  <si>
    <t>Travel insurance</t>
  </si>
  <si>
    <t>Paypal</t>
  </si>
  <si>
    <t>Luka xmas gifrt</t>
  </si>
  <si>
    <r>
      <rPr>
        <rFont val="Arial"/>
        <b/>
        <color theme="1"/>
      </rPr>
      <t>Di</t>
    </r>
    <r>
      <rPr>
        <rFont val="Arial"/>
        <b/>
        <color theme="1"/>
      </rPr>
      <t>nner</t>
    </r>
  </si>
  <si>
    <t>Train (to Manc)</t>
  </si>
  <si>
    <t>Train (to Glasg)</t>
  </si>
  <si>
    <t>Train (to London)</t>
  </si>
  <si>
    <t>chatgpt</t>
  </si>
  <si>
    <t>Xmas gift (luka + emily)</t>
  </si>
  <si>
    <t>Xmas gift (tata)</t>
  </si>
  <si>
    <t>Youtube Premium</t>
  </si>
  <si>
    <t>Xmas gift (mama)</t>
  </si>
  <si>
    <t>TV collection</t>
  </si>
  <si>
    <t>Katy bday surprise</t>
  </si>
  <si>
    <t>Climbing</t>
  </si>
  <si>
    <t>Xmas gift (sonia)</t>
  </si>
  <si>
    <t>Crunchyroll</t>
  </si>
  <si>
    <t>Xmas gift (mama I Tata 2021)</t>
  </si>
  <si>
    <t>Xmas</t>
  </si>
  <si>
    <t>Galsgow misc.</t>
  </si>
  <si>
    <r>
      <rPr>
        <rFont val="Arial"/>
        <b/>
        <color theme="1"/>
      </rPr>
      <t>Di</t>
    </r>
    <r>
      <rPr>
        <rFont val="Arial"/>
        <b/>
        <color theme="1"/>
      </rPr>
      <t>nner</t>
    </r>
  </si>
  <si>
    <t>iCloud</t>
  </si>
  <si>
    <t>Floss</t>
  </si>
  <si>
    <t>Saisnburys</t>
  </si>
  <si>
    <t>Passport (tata)</t>
  </si>
  <si>
    <t>Hourglass</t>
  </si>
  <si>
    <t>Xmas (luka)</t>
  </si>
  <si>
    <t>Movember</t>
  </si>
  <si>
    <r>
      <rPr>
        <rFont val="Arial"/>
        <b/>
        <color theme="1"/>
      </rPr>
      <t>Di</t>
    </r>
    <r>
      <rPr>
        <rFont val="Arial"/>
        <b/>
        <color theme="1"/>
      </rPr>
      <t>nner</t>
    </r>
  </si>
  <si>
    <t>Stationary</t>
  </si>
  <si>
    <t>Sharpies</t>
  </si>
  <si>
    <t>Mouse</t>
  </si>
  <si>
    <t>Bedroom stuff</t>
  </si>
  <si>
    <t>Deli containers</t>
  </si>
  <si>
    <t>Post Office</t>
  </si>
  <si>
    <t>Planning app</t>
  </si>
  <si>
    <t>Hot sauce</t>
  </si>
  <si>
    <t>Skydiving day</t>
  </si>
  <si>
    <t>Water</t>
  </si>
  <si>
    <t>Manchester tickets</t>
  </si>
  <si>
    <t>Crocs</t>
  </si>
  <si>
    <t>Korean shop</t>
  </si>
  <si>
    <t>Latte</t>
  </si>
  <si>
    <t>Passport</t>
  </si>
  <si>
    <t>Youtube premium</t>
  </si>
  <si>
    <t>Debrid</t>
  </si>
  <si>
    <t>Zaki bday</t>
  </si>
  <si>
    <t>Wings</t>
  </si>
  <si>
    <t>Tata i Mama bday</t>
  </si>
  <si>
    <t>Bruno bday</t>
  </si>
  <si>
    <t>Clara bday gift</t>
  </si>
  <si>
    <t>Hygienist</t>
  </si>
  <si>
    <t>Earpods</t>
  </si>
  <si>
    <t>Specsavers</t>
  </si>
  <si>
    <t>Marley bday</t>
  </si>
  <si>
    <t>Diffuser</t>
  </si>
  <si>
    <t>Tool</t>
  </si>
  <si>
    <t>Skydiving</t>
  </si>
  <si>
    <t>Gig</t>
  </si>
  <si>
    <t>Meds</t>
  </si>
  <si>
    <t>Bag</t>
  </si>
  <si>
    <t xml:space="preserve">Raph bday </t>
  </si>
  <si>
    <t>Corner shop</t>
  </si>
  <si>
    <t>Bluetooth</t>
  </si>
  <si>
    <t>Golf</t>
  </si>
  <si>
    <t>Masa Harina (for tacos)</t>
  </si>
  <si>
    <t>Squeezy sauce bottles</t>
  </si>
  <si>
    <t>Shop</t>
  </si>
  <si>
    <t>Tp</t>
  </si>
  <si>
    <t>Lunch (mama &amp; tata)</t>
  </si>
  <si>
    <t>Massage</t>
  </si>
  <si>
    <t>Superdrug</t>
  </si>
  <si>
    <t>Vanguard</t>
  </si>
  <si>
    <t>MSI</t>
  </si>
  <si>
    <t>Lighter</t>
  </si>
  <si>
    <t>Cash+Nandos</t>
  </si>
  <si>
    <t>Manchester</t>
  </si>
  <si>
    <t>Pizza</t>
  </si>
  <si>
    <t>Cream</t>
  </si>
  <si>
    <t>Hand cream</t>
  </si>
  <si>
    <t>Lidl (bday stuff)</t>
  </si>
  <si>
    <t>Peanut butter</t>
  </si>
  <si>
    <t>Waitrose (bday stuff)</t>
  </si>
  <si>
    <t>Poundland</t>
  </si>
  <si>
    <t>ebay idiot</t>
  </si>
  <si>
    <t>Manc tickets</t>
  </si>
  <si>
    <t>Chai</t>
  </si>
  <si>
    <t>Ear buds</t>
  </si>
  <si>
    <t>Socks</t>
  </si>
  <si>
    <t>Audible</t>
  </si>
  <si>
    <t>Brunch</t>
  </si>
  <si>
    <t>SD card reader</t>
  </si>
  <si>
    <t>Mama massage</t>
  </si>
  <si>
    <t>Toothbrush</t>
  </si>
  <si>
    <t xml:space="preserve">Lidl </t>
  </si>
  <si>
    <t>Passport photo</t>
  </si>
  <si>
    <t>Galway flights</t>
  </si>
  <si>
    <t>Galway airbnb</t>
  </si>
  <si>
    <t>Mama xmas pics</t>
  </si>
  <si>
    <t>Cab</t>
  </si>
  <si>
    <t>Train ticket</t>
  </si>
  <si>
    <t>Holiday stuff</t>
  </si>
  <si>
    <t>Plant</t>
  </si>
  <si>
    <t>Plasters</t>
  </si>
  <si>
    <t>Drinks</t>
  </si>
  <si>
    <t>m.2</t>
  </si>
  <si>
    <t>Xmas (mama)</t>
  </si>
  <si>
    <t>Xmas (sonia)</t>
  </si>
  <si>
    <t>Bonsai</t>
  </si>
  <si>
    <t>Uber eats</t>
  </si>
  <si>
    <t>Xmas (tata)</t>
  </si>
  <si>
    <t>Disney+</t>
  </si>
  <si>
    <t>Fitbit</t>
  </si>
  <si>
    <t>Theatre (katy bday)</t>
  </si>
  <si>
    <t>Xmas pres (Luka)</t>
  </si>
  <si>
    <t>LITUK test</t>
  </si>
  <si>
    <t>Xmas pres (secret santa</t>
  </si>
  <si>
    <t>Leetcode (yearly)</t>
  </si>
  <si>
    <t>Movember dono</t>
  </si>
  <si>
    <t>O rings</t>
  </si>
  <si>
    <t>Deliveroo</t>
  </si>
  <si>
    <t>Wrong cinema booking dumvmbass</t>
  </si>
  <si>
    <t>Moisturiser</t>
  </si>
  <si>
    <t>H&amp;B</t>
  </si>
  <si>
    <t>Pret</t>
  </si>
  <si>
    <t>Notebooks</t>
  </si>
  <si>
    <t>Keyboard</t>
  </si>
  <si>
    <t>WC sweepstake</t>
  </si>
  <si>
    <t>Limebike</t>
  </si>
  <si>
    <t>Eye spray</t>
  </si>
  <si>
    <t>Tata plants</t>
  </si>
  <si>
    <t>Minus bills + savings</t>
  </si>
  <si>
    <t>Dodgeball</t>
  </si>
  <si>
    <t>Clara bday</t>
  </si>
  <si>
    <t>Iron Maiden</t>
  </si>
  <si>
    <t>Pens</t>
  </si>
  <si>
    <t>Bday m+t</t>
  </si>
  <si>
    <t xml:space="preserve"> </t>
  </si>
  <si>
    <t>Juul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</si>
</sst>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0000"/>
      <name val="Arial"/>
      <scheme val="minor"/>
    </font>
    <font>
      <color rgb="FFB7B7B7"/>
      <name val="Arial"/>
      <scheme val="minor"/>
    </font>
    <font>
      <b/>
      <color rgb="FF000000"/>
      <name val="Arial"/>
    </font>
    <font>
      <color rgb="FF000000"/>
      <name val="Arial"/>
    </font>
    <font>
      <color rgb="FF514F5E"/>
      <name val="&quot;DM Sans&quot;"/>
    </font>
    <font>
      <sz val="9.0"/>
      <color theme="1"/>
      <name val="Arial"/>
      <scheme val="minor"/>
    </font>
    <font>
      <color rgb="FF555555"/>
      <name val="&quot;Helvetica Neue&quot;"/>
    </font>
    <font>
      <b/>
      <color theme="1"/>
      <name val="Arial"/>
    </font>
    <font>
      <color theme="1"/>
      <name val="Arial"/>
    </font>
    <font>
      <color rgb="FF000000"/>
      <name val="&quot;Arial&quot;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4" xfId="0" applyFont="1" applyNumberFormat="1"/>
    <xf borderId="0" fillId="0" fontId="4" numFmtId="2" xfId="0" applyAlignment="1" applyFont="1" applyNumberFormat="1">
      <alignment readingOrder="0"/>
    </xf>
    <xf borderId="0" fillId="0" fontId="4" numFmtId="2" xfId="0" applyFont="1" applyNumberFormat="1"/>
    <xf borderId="0" fillId="0" fontId="4" numFmtId="10" xfId="0" applyAlignment="1" applyFont="1" applyNumberFormat="1">
      <alignment readingOrder="0"/>
    </xf>
    <xf borderId="0" fillId="0" fontId="3" numFmtId="2" xfId="0" applyFont="1" applyNumberFormat="1"/>
    <xf borderId="0" fillId="0" fontId="4" numFmtId="0" xfId="0" applyFont="1"/>
    <xf borderId="0" fillId="0" fontId="4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5" numFmtId="0" xfId="0" applyFont="1"/>
    <xf borderId="0" fillId="0" fontId="4" numFmtId="10" xfId="0" applyFont="1" applyNumberFormat="1"/>
    <xf borderId="0" fillId="0" fontId="1" numFmtId="49" xfId="0" applyFont="1" applyNumberFormat="1"/>
    <xf borderId="0" fillId="0" fontId="1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0" xfId="0" applyFont="1"/>
    <xf borderId="0" fillId="0" fontId="3" numFmtId="49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2" fontId="3" numFmtId="0" xfId="0" applyFill="1" applyFont="1"/>
    <xf borderId="0" fillId="2" fontId="3" numFmtId="10" xfId="0" applyFont="1" applyNumberFormat="1"/>
    <xf borderId="0" fillId="0" fontId="4" numFmtId="4" xfId="0" applyAlignment="1" applyFont="1" applyNumberFormat="1">
      <alignment readingOrder="0"/>
    </xf>
    <xf borderId="0" fillId="0" fontId="4" numFmtId="4" xfId="0" applyFont="1" applyNumberFormat="1"/>
    <xf borderId="0" fillId="2" fontId="4" numFmtId="0" xfId="0" applyFont="1"/>
    <xf borderId="0" fillId="2" fontId="4" numFmtId="10" xfId="0" applyFont="1" applyNumberFormat="1"/>
    <xf borderId="0" fillId="0" fontId="3" numFmtId="10" xfId="0" applyFont="1" applyNumberFormat="1"/>
    <xf borderId="0" fillId="0" fontId="6" numFmtId="49" xfId="0" applyAlignment="1" applyFont="1" applyNumberFormat="1">
      <alignment readingOrder="0"/>
    </xf>
    <xf borderId="0" fillId="0" fontId="6" numFmtId="4" xfId="0" applyFont="1" applyNumberFormat="1"/>
    <xf borderId="0" fillId="0" fontId="6" numFmtId="4" xfId="0" applyAlignment="1" applyFont="1" applyNumberFormat="1">
      <alignment readingOrder="0"/>
    </xf>
    <xf borderId="0" fillId="0" fontId="6" numFmtId="2" xfId="0" applyAlignment="1" applyFont="1" applyNumberFormat="1">
      <alignment readingOrder="0"/>
    </xf>
    <xf borderId="0" fillId="0" fontId="6" numFmtId="10" xfId="0" applyFont="1" applyNumberFormat="1"/>
    <xf borderId="0" fillId="0" fontId="6" numFmtId="0" xfId="0" applyFont="1"/>
    <xf borderId="0" fillId="0" fontId="6" numFmtId="49" xfId="0" applyFont="1" applyNumberFormat="1"/>
    <xf borderId="0" fillId="0" fontId="6" numFmtId="2" xfId="0" applyFont="1" applyNumberFormat="1"/>
    <xf borderId="0" fillId="0" fontId="3" numFmtId="49" xfId="0" applyFont="1" applyNumberFormat="1"/>
    <xf borderId="0" fillId="0" fontId="1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3" fontId="4" numFmtId="4" xfId="0" applyAlignment="1" applyFill="1" applyFont="1" applyNumberFormat="1">
      <alignment horizontal="right" readingOrder="0"/>
    </xf>
    <xf borderId="0" fillId="3" fontId="7" numFmtId="0" xfId="0" applyAlignment="1" applyFont="1">
      <alignment horizontal="left" readingOrder="0"/>
    </xf>
    <xf borderId="0" fillId="3" fontId="8" numFmtId="4" xfId="0" applyAlignment="1" applyFont="1" applyNumberFormat="1">
      <alignment horizontal="right" readingOrder="0"/>
    </xf>
    <xf borderId="0" fillId="0" fontId="3" numFmtId="164" xfId="0" applyFont="1" applyNumberFormat="1"/>
    <xf borderId="0" fillId="0" fontId="3" numFmtId="0" xfId="0" applyFont="1"/>
    <xf borderId="0" fillId="0" fontId="9" numFmtId="4" xfId="0" applyAlignment="1" applyFont="1" applyNumberFormat="1">
      <alignment horizontal="right" readingOrder="0"/>
    </xf>
    <xf borderId="0" fillId="0" fontId="10" numFmtId="4" xfId="0" applyAlignment="1" applyFont="1" applyNumberFormat="1">
      <alignment readingOrder="0"/>
    </xf>
    <xf borderId="0" fillId="4" fontId="3" numFmtId="2" xfId="0" applyFill="1" applyFont="1" applyNumberFormat="1"/>
    <xf borderId="0" fillId="5" fontId="11" numFmtId="4" xfId="0" applyAlignment="1" applyFill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3" numFmtId="10" xfId="0" applyAlignment="1" applyFont="1" applyNumberFormat="1">
      <alignment horizontal="right" vertical="bottom"/>
    </xf>
    <xf borderId="0" fillId="0" fontId="14" numFmtId="4" xfId="0" applyAlignment="1" applyFont="1" applyNumberFormat="1">
      <alignment readingOrder="0"/>
    </xf>
    <xf borderId="0" fillId="3" fontId="8" numFmtId="4" xfId="0" applyAlignment="1" applyFont="1" applyNumberFormat="1">
      <alignment horizontal="left" readingOrder="0"/>
    </xf>
    <xf borderId="0" fillId="3" fontId="8" numFmtId="0" xfId="0" applyAlignment="1" applyFont="1">
      <alignment horizontal="left" readingOrder="0"/>
    </xf>
    <xf borderId="0" fillId="0" fontId="3" numFmtId="4" xfId="0" applyAlignment="1" applyFont="1" applyNumberFormat="1">
      <alignment readingOrder="0"/>
    </xf>
    <xf borderId="0" fillId="0" fontId="1" numFmtId="4" xfId="0" applyAlignment="1" applyFont="1" applyNumberFormat="1">
      <alignment horizontal="left" readingOrder="0"/>
    </xf>
    <xf borderId="0" fillId="0" fontId="3" numFmtId="4" xfId="0" applyAlignment="1" applyFont="1" applyNumberFormat="1">
      <alignment horizontal="right" readingOrder="0"/>
    </xf>
    <xf borderId="0" fillId="0" fontId="3" numFmtId="4" xfId="0" applyAlignment="1" applyFont="1" applyNumberFormat="1">
      <alignment horizontal="right"/>
    </xf>
    <xf borderId="0" fillId="4" fontId="3" numFmtId="0" xfId="0" applyFont="1"/>
    <xf borderId="0" fillId="0" fontId="3" numFmtId="2" xfId="0" applyAlignment="1" applyFont="1" applyNumberFormat="1">
      <alignment horizontal="right" readingOrder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2023.0</v>
      </c>
      <c r="E1" s="2" t="s">
        <v>0</v>
      </c>
      <c r="F1" s="2" t="s">
        <v>1</v>
      </c>
      <c r="G1" s="3" t="s">
        <v>2</v>
      </c>
      <c r="H1" s="2" t="s">
        <v>3</v>
      </c>
      <c r="I1" s="2" t="s">
        <v>4</v>
      </c>
      <c r="S1" s="4" t="s">
        <v>5</v>
      </c>
    </row>
    <row r="2">
      <c r="A2" s="1" t="s">
        <v>6</v>
      </c>
      <c r="B2" s="5">
        <f t="shared" ref="B2:B3" si="1">INDIRECT("'January " &amp; $A$1 &amp; "'!" &amp; S1) + INDIRECT("'February " &amp; $A$1 &amp; "'!" &amp; S1) + INDIRECT("'March " &amp; $A$1 &amp; "'!" &amp; S1) + INDIRECT("'April " &amp; $A$1 &amp; "'!" &amp; S1) + INDIRECT("'May " &amp; $A$1 &amp; "'!" &amp; S1) + INDIRECT("'June " &amp; $A$1 &amp; "'!" &amp; S1) + INDIRECT("'July " &amp; $A$1 &amp; "'!" &amp; S1) + INDIRECT("'August " &amp; $A$1 &amp; "'!" &amp; S1) + INDIRECT("'September " &amp; $A$1 &amp; "'!" &amp; S1) + INDIRECT("'October " &amp; $A$1 &amp; "'!" &amp; S1) + INDIRECT("'November " &amp; $A$1 &amp; "'!" &amp; S1) + INDIRECT("'December " &amp; $A$1 &amp; "'!" &amp; S1)</f>
        <v>3500</v>
      </c>
      <c r="E2" s="6">
        <v>43000.0</v>
      </c>
      <c r="F2" s="6">
        <v>6000.0</v>
      </c>
      <c r="G2" s="7">
        <f>sum(E2:F2)</f>
        <v>49000</v>
      </c>
      <c r="H2" s="8">
        <v>0.1963</v>
      </c>
      <c r="I2" s="9">
        <f>B4/12</f>
        <v>631.0858333</v>
      </c>
      <c r="S2" s="4" t="s">
        <v>7</v>
      </c>
    </row>
    <row r="3">
      <c r="A3" s="1" t="s">
        <v>8</v>
      </c>
      <c r="B3" s="5">
        <f t="shared" si="1"/>
        <v>4073.03</v>
      </c>
      <c r="G3" s="7"/>
      <c r="H3" s="10"/>
      <c r="S3" s="4" t="s">
        <v>9</v>
      </c>
    </row>
    <row r="4">
      <c r="A4" s="1" t="s">
        <v>10</v>
      </c>
      <c r="B4" s="5">
        <f>SUM(B2:B3)</f>
        <v>7573.03</v>
      </c>
      <c r="G4" s="7"/>
      <c r="H4" s="10"/>
    </row>
    <row r="5">
      <c r="E5" s="11"/>
      <c r="F5" s="8"/>
      <c r="G5" s="7"/>
      <c r="H5" s="10"/>
    </row>
    <row r="6">
      <c r="A6" s="1">
        <v>2024.0</v>
      </c>
      <c r="E6" s="2"/>
      <c r="F6" s="2"/>
      <c r="G6" s="7"/>
      <c r="H6" s="10"/>
    </row>
    <row r="7">
      <c r="A7" s="1" t="s">
        <v>6</v>
      </c>
      <c r="B7" s="5">
        <f t="shared" ref="B7:B8" si="2">INDIRECT("'January " &amp; $A$6 &amp; "'!" &amp; S1) + INDIRECT("'February " &amp; $A$6 &amp; "'!" &amp; S1) + INDIRECT("'March " &amp; $A$6 &amp; "'!" &amp; S1) + INDIRECT("'April " &amp; $A$6 &amp; "'!" &amp; S1) + INDIRECT("'May " &amp; $A$6 &amp; "'!" &amp; S1) + INDIRECT("'June " &amp; $A$6 &amp; "'!" &amp; S1) + INDIRECT("'July " &amp; $A$6 &amp; "'!" &amp; S1) + INDIRECT("'August " &amp; $A$6 &amp; "'!" &amp; S1) + INDIRECT("'September " &amp; $A$6 &amp; "'!" &amp; S1) + INDIRECT("'October " &amp; $A$6 &amp; "'!" &amp; S1) + INDIRECT("'November " &amp; $A$6 &amp; "'!" &amp; S1) + INDIRECT("'December " &amp; $A$6 &amp; "'!" &amp; S1)</f>
        <v>4150</v>
      </c>
      <c r="C7" s="5">
        <f t="shared" ref="C7:C8" si="3">B7-B2</f>
        <v>650</v>
      </c>
      <c r="E7" s="12">
        <v>48000.0</v>
      </c>
      <c r="F7" s="12">
        <v>8000.0</v>
      </c>
      <c r="G7" s="7">
        <f>sum(E7:F7)</f>
        <v>56000</v>
      </c>
      <c r="H7" s="8">
        <v>0.1807</v>
      </c>
      <c r="I7" s="9">
        <f>B9/12</f>
        <v>673.3145833</v>
      </c>
    </row>
    <row r="8">
      <c r="A8" s="1" t="s">
        <v>8</v>
      </c>
      <c r="B8" s="5">
        <f t="shared" si="2"/>
        <v>3929.775</v>
      </c>
      <c r="C8" s="5">
        <f t="shared" si="3"/>
        <v>-143.255</v>
      </c>
      <c r="E8" s="2"/>
      <c r="F8" s="2"/>
      <c r="G8" s="7"/>
      <c r="H8" s="10"/>
    </row>
    <row r="9">
      <c r="A9" s="1" t="s">
        <v>10</v>
      </c>
      <c r="B9" s="5">
        <f t="shared" ref="B9:C9" si="4">SUM(B7:B8)</f>
        <v>8079.775</v>
      </c>
      <c r="C9" s="5">
        <f t="shared" si="4"/>
        <v>506.745</v>
      </c>
      <c r="G9" s="7"/>
      <c r="H9" s="10"/>
    </row>
    <row r="10">
      <c r="E10" s="11"/>
      <c r="F10" s="8"/>
      <c r="G10" s="7"/>
      <c r="H10" s="10"/>
    </row>
    <row r="11">
      <c r="A11" s="1">
        <v>2025.0</v>
      </c>
      <c r="E11" s="2"/>
      <c r="F11" s="2"/>
      <c r="G11" s="7"/>
      <c r="H11" s="10"/>
    </row>
    <row r="12">
      <c r="A12" s="1" t="s">
        <v>6</v>
      </c>
      <c r="B12" s="5">
        <f t="shared" ref="B12:B13" si="5">INDIRECT("'January " &amp; $A$11 &amp; "'!" &amp; S1)+INDIRECT("'February " &amp; $A$11 &amp; "'!" &amp; S1)+INDIRECT("'March " &amp; $A$11 &amp; "'!" &amp; S1)+INDIRECT("'April " &amp; $A$11 &amp; "'!" &amp; S1)+INDIRECT("'May " &amp; $A$11 &amp; "'!" &amp; S1)+INDIRECT("'June " &amp; $A$11 &amp; "'!" &amp; S1)+INDIRECT("'July " &amp; $A$11 &amp; "'!" &amp; S1)+INDIRECT("'August " &amp; $A$11 &amp; "'!" &amp; S1)+INDIRECT("'September " &amp; $A$11 &amp; "'!" &amp; S1)+INDIRECT("'October " &amp; $A$11 &amp; "'!" &amp; S1)+INDIRECT("'November " &amp; $A$11 &amp; "'!" &amp; S1)+INDIRECT("'December " &amp; $A$11 &amp; "'!" &amp; S1)</f>
        <v>9050</v>
      </c>
      <c r="C12" s="5">
        <f t="shared" ref="C12:C13" si="6">B12-B7</f>
        <v>4900</v>
      </c>
      <c r="E12" s="12">
        <v>55000.0</v>
      </c>
      <c r="F12" s="12">
        <v>9000.0</v>
      </c>
      <c r="G12" s="7">
        <f>sum(E12:F12)</f>
        <v>64000</v>
      </c>
      <c r="H12" s="8">
        <v>0.2121</v>
      </c>
      <c r="I12" s="9">
        <f>B14/12</f>
        <v>816.5922222</v>
      </c>
    </row>
    <row r="13">
      <c r="A13" s="1" t="s">
        <v>8</v>
      </c>
      <c r="B13" s="5">
        <f t="shared" si="5"/>
        <v>749.1066667</v>
      </c>
      <c r="C13" s="5">
        <f t="shared" si="6"/>
        <v>-3180.668333</v>
      </c>
      <c r="E13" s="2"/>
      <c r="F13" s="2"/>
      <c r="G13" s="7"/>
      <c r="H13" s="10"/>
    </row>
    <row r="14">
      <c r="A14" s="1" t="s">
        <v>10</v>
      </c>
      <c r="B14" s="5">
        <f t="shared" ref="B14:C14" si="7">SUM(B12:B13)</f>
        <v>9799.106667</v>
      </c>
      <c r="C14" s="5">
        <f t="shared" si="7"/>
        <v>1719.331667</v>
      </c>
      <c r="H14" s="10"/>
    </row>
    <row r="15">
      <c r="E15" s="11"/>
      <c r="F15" s="8"/>
      <c r="G15" s="7"/>
      <c r="H15" s="10"/>
    </row>
    <row r="16">
      <c r="A16" s="1">
        <v>2026.0</v>
      </c>
      <c r="E16" s="2"/>
      <c r="F16" s="2"/>
      <c r="G16" s="7"/>
      <c r="H16" s="10"/>
    </row>
    <row r="17">
      <c r="A17" s="1" t="s">
        <v>6</v>
      </c>
      <c r="B17" s="5">
        <f t="shared" ref="B17:B18" si="8">INDIRECT("'January " &amp; $A$16 &amp; "'!" &amp; S1)+INDIRECT("'February " &amp; $A$16 &amp; "'!" &amp; S1)+INDIRECT("'March " &amp; $A$16 &amp; "'!" &amp; S1)+INDIRECT("'April " &amp; $A$16 &amp; "'!" &amp; S1)+INDIRECT("'May " &amp; $A$16 &amp; "'!" &amp; S1)+INDIRECT("'June " &amp; $A$16 &amp; "'!" &amp; S1)</f>
        <v>4900</v>
      </c>
      <c r="C17" s="5">
        <f t="shared" ref="C17:C18" si="9">B17-B12</f>
        <v>-4150</v>
      </c>
      <c r="D17" s="13"/>
      <c r="E17" s="6">
        <v>61500.0</v>
      </c>
      <c r="F17" s="6"/>
      <c r="G17" s="7">
        <f>sum(E17:F17)</f>
        <v>61500</v>
      </c>
      <c r="H17" s="14">
        <f t="array" ref="H17">(INDIRECT("'January " &amp; $A$16 &amp; "'!" &amp; S3)+INDIRECT("'February " &amp; $A$16 &amp; "'!" &amp; S3)+INDIRECT("'March " &amp; $A$16 &amp; "'!" &amp; S3)+INDIRECT("'April " &amp; $A$16 &amp; "'!" &amp; S3)+INDIRECT("'May " &amp; $A$16 &amp; "'!" &amp; S3)+INDIRECT("'June " &amp; $A$16 &amp; "'!" &amp; S3))/6</f>
        <v>0.3541499559</v>
      </c>
      <c r="I17" s="7">
        <f>B19/6</f>
        <v>1232</v>
      </c>
    </row>
    <row r="18">
      <c r="A18" s="1" t="s">
        <v>8</v>
      </c>
      <c r="B18" s="5">
        <f t="shared" si="8"/>
        <v>2492</v>
      </c>
      <c r="C18" s="5">
        <f t="shared" si="9"/>
        <v>1742.893333</v>
      </c>
      <c r="E18" s="2"/>
      <c r="F18" s="2"/>
      <c r="G18" s="7"/>
      <c r="H18" s="10"/>
    </row>
    <row r="19">
      <c r="A19" s="1" t="s">
        <v>10</v>
      </c>
      <c r="B19" s="5">
        <f t="shared" ref="B19:C19" si="10">SUM(B17:B18)</f>
        <v>7392</v>
      </c>
      <c r="C19" s="5">
        <f t="shared" si="10"/>
        <v>-2407.106667</v>
      </c>
      <c r="E19" s="10"/>
      <c r="H19" s="10"/>
    </row>
    <row r="20">
      <c r="E20" s="10"/>
      <c r="F20" s="14"/>
      <c r="G20" s="7"/>
      <c r="H20" s="10"/>
    </row>
    <row r="21">
      <c r="E21" s="10"/>
      <c r="F21" s="14"/>
      <c r="G21" s="7"/>
      <c r="H21" s="10"/>
    </row>
    <row r="22">
      <c r="E22" s="10"/>
      <c r="F22" s="14"/>
      <c r="G22" s="7"/>
      <c r="H22" s="10"/>
    </row>
    <row r="23">
      <c r="E23" s="10"/>
      <c r="F23" s="14"/>
      <c r="G23" s="7"/>
      <c r="H23" s="10"/>
    </row>
    <row r="24">
      <c r="E24" s="10"/>
      <c r="F24" s="14"/>
      <c r="G24" s="7"/>
      <c r="H24" s="10"/>
    </row>
    <row r="25">
      <c r="E25" s="10"/>
      <c r="F25" s="14"/>
      <c r="G25" s="7"/>
      <c r="H25" s="10"/>
    </row>
    <row r="26">
      <c r="E26" s="10"/>
      <c r="F26" s="14"/>
      <c r="G26" s="7"/>
      <c r="H26" s="10"/>
    </row>
    <row r="27">
      <c r="E27" s="10"/>
      <c r="F27" s="14"/>
      <c r="G27" s="7"/>
      <c r="H27" s="10"/>
    </row>
    <row r="28">
      <c r="E28" s="10"/>
      <c r="F28" s="14"/>
      <c r="G28" s="7"/>
      <c r="H28" s="10"/>
    </row>
    <row r="29">
      <c r="E29" s="10"/>
      <c r="F29" s="14"/>
      <c r="G29" s="7"/>
      <c r="H29" s="10"/>
    </row>
    <row r="30">
      <c r="E30" s="10"/>
      <c r="F30" s="14"/>
      <c r="G30" s="7"/>
      <c r="H30" s="10"/>
    </row>
    <row r="31">
      <c r="E31" s="10"/>
      <c r="F31" s="14"/>
      <c r="G31" s="7"/>
      <c r="H31" s="10"/>
    </row>
    <row r="32">
      <c r="E32" s="10"/>
      <c r="F32" s="14"/>
      <c r="G32" s="7"/>
      <c r="H32" s="10"/>
    </row>
    <row r="33">
      <c r="E33" s="10"/>
      <c r="F33" s="14"/>
      <c r="G33" s="7"/>
      <c r="H33" s="10"/>
    </row>
    <row r="34">
      <c r="E34" s="10"/>
      <c r="F34" s="14"/>
      <c r="G34" s="7"/>
      <c r="H34" s="10"/>
    </row>
    <row r="35">
      <c r="E35" s="10"/>
      <c r="F35" s="14"/>
      <c r="G35" s="7"/>
      <c r="H35" s="10"/>
    </row>
    <row r="36">
      <c r="E36" s="10"/>
      <c r="F36" s="14"/>
      <c r="G36" s="7"/>
      <c r="H36" s="10"/>
    </row>
    <row r="37">
      <c r="E37" s="10"/>
      <c r="F37" s="14"/>
      <c r="G37" s="7"/>
      <c r="H37" s="10"/>
    </row>
    <row r="38">
      <c r="E38" s="10"/>
      <c r="F38" s="14"/>
      <c r="G38" s="7"/>
      <c r="H38" s="10"/>
    </row>
    <row r="39">
      <c r="E39" s="10"/>
      <c r="F39" s="14"/>
      <c r="G39" s="7"/>
      <c r="H39" s="10"/>
    </row>
    <row r="40">
      <c r="E40" s="10"/>
      <c r="F40" s="14"/>
      <c r="G40" s="7"/>
      <c r="H40" s="10"/>
    </row>
    <row r="41">
      <c r="E41" s="10"/>
      <c r="F41" s="14"/>
      <c r="G41" s="7"/>
      <c r="H41" s="10"/>
    </row>
    <row r="42">
      <c r="E42" s="10"/>
      <c r="F42" s="14"/>
      <c r="G42" s="7"/>
      <c r="H42" s="10"/>
    </row>
    <row r="43">
      <c r="E43" s="10"/>
      <c r="F43" s="14"/>
      <c r="G43" s="7"/>
      <c r="H43" s="10"/>
    </row>
    <row r="44">
      <c r="E44" s="10"/>
      <c r="F44" s="14"/>
      <c r="G44" s="7"/>
      <c r="H44" s="10"/>
    </row>
    <row r="45">
      <c r="E45" s="10"/>
      <c r="F45" s="14"/>
      <c r="G45" s="7"/>
      <c r="H45" s="10"/>
    </row>
    <row r="46">
      <c r="E46" s="10"/>
      <c r="F46" s="14"/>
      <c r="G46" s="7"/>
      <c r="H46" s="10"/>
    </row>
    <row r="47">
      <c r="E47" s="10"/>
      <c r="F47" s="14"/>
      <c r="G47" s="7"/>
      <c r="H47" s="10"/>
    </row>
    <row r="48">
      <c r="E48" s="10"/>
      <c r="F48" s="14"/>
      <c r="G48" s="7"/>
      <c r="H48" s="10"/>
    </row>
    <row r="49">
      <c r="E49" s="10"/>
      <c r="F49" s="14"/>
      <c r="G49" s="7"/>
      <c r="H49" s="10"/>
    </row>
    <row r="50">
      <c r="E50" s="10"/>
      <c r="F50" s="14"/>
      <c r="G50" s="7"/>
      <c r="H50" s="10"/>
    </row>
    <row r="51">
      <c r="E51" s="10"/>
      <c r="F51" s="14"/>
      <c r="G51" s="7"/>
      <c r="H51" s="10"/>
    </row>
    <row r="52">
      <c r="E52" s="10"/>
      <c r="F52" s="14"/>
      <c r="G52" s="7"/>
      <c r="H52" s="10"/>
    </row>
    <row r="53">
      <c r="E53" s="10"/>
      <c r="F53" s="14"/>
      <c r="G53" s="7"/>
      <c r="H53" s="10"/>
    </row>
    <row r="54">
      <c r="E54" s="10"/>
      <c r="F54" s="14"/>
      <c r="G54" s="7"/>
      <c r="H54" s="10"/>
    </row>
    <row r="55">
      <c r="E55" s="10"/>
      <c r="F55" s="14"/>
      <c r="G55" s="7"/>
      <c r="H55" s="10"/>
    </row>
    <row r="56">
      <c r="E56" s="10"/>
      <c r="F56" s="14"/>
      <c r="G56" s="7"/>
      <c r="H56" s="10"/>
    </row>
    <row r="57">
      <c r="E57" s="10"/>
      <c r="F57" s="14"/>
      <c r="G57" s="7"/>
      <c r="H57" s="10"/>
    </row>
    <row r="58">
      <c r="E58" s="10"/>
      <c r="F58" s="14"/>
      <c r="G58" s="7"/>
      <c r="H58" s="10"/>
    </row>
    <row r="59">
      <c r="E59" s="10"/>
      <c r="F59" s="14"/>
      <c r="G59" s="7"/>
      <c r="H59" s="10"/>
    </row>
    <row r="60">
      <c r="E60" s="10"/>
      <c r="F60" s="14"/>
      <c r="G60" s="7"/>
      <c r="H60" s="10"/>
    </row>
    <row r="61">
      <c r="E61" s="10"/>
      <c r="F61" s="14"/>
      <c r="G61" s="7"/>
      <c r="H61" s="10"/>
    </row>
    <row r="62">
      <c r="E62" s="10"/>
      <c r="F62" s="14"/>
      <c r="G62" s="7"/>
      <c r="H62" s="10"/>
    </row>
    <row r="63">
      <c r="E63" s="10"/>
      <c r="F63" s="14"/>
      <c r="G63" s="7"/>
      <c r="H63" s="10"/>
    </row>
    <row r="64">
      <c r="E64" s="10"/>
      <c r="F64" s="14"/>
      <c r="G64" s="7"/>
      <c r="H64" s="10"/>
    </row>
    <row r="65">
      <c r="E65" s="10"/>
      <c r="F65" s="14"/>
      <c r="G65" s="7"/>
      <c r="H65" s="10"/>
    </row>
    <row r="66">
      <c r="E66" s="10"/>
      <c r="F66" s="14"/>
      <c r="G66" s="7"/>
      <c r="H66" s="10"/>
    </row>
    <row r="67">
      <c r="E67" s="10"/>
      <c r="F67" s="14"/>
      <c r="G67" s="7"/>
      <c r="H67" s="10"/>
    </row>
    <row r="68">
      <c r="E68" s="10"/>
      <c r="F68" s="14"/>
      <c r="G68" s="7"/>
      <c r="H68" s="10"/>
    </row>
    <row r="69">
      <c r="E69" s="10"/>
      <c r="F69" s="14"/>
      <c r="G69" s="7"/>
      <c r="H69" s="10"/>
    </row>
    <row r="70">
      <c r="E70" s="10"/>
      <c r="F70" s="14"/>
      <c r="G70" s="7"/>
      <c r="H70" s="10"/>
    </row>
    <row r="71">
      <c r="E71" s="10"/>
      <c r="F71" s="14"/>
      <c r="G71" s="7"/>
      <c r="H71" s="10"/>
    </row>
    <row r="72">
      <c r="E72" s="10"/>
      <c r="F72" s="14"/>
      <c r="G72" s="7"/>
      <c r="H72" s="10"/>
    </row>
    <row r="73">
      <c r="E73" s="10"/>
      <c r="F73" s="14"/>
      <c r="G73" s="7"/>
      <c r="H73" s="10"/>
    </row>
    <row r="74">
      <c r="E74" s="10"/>
      <c r="F74" s="14"/>
      <c r="G74" s="7"/>
      <c r="H74" s="10"/>
    </row>
    <row r="75">
      <c r="E75" s="10"/>
      <c r="F75" s="14"/>
      <c r="G75" s="7"/>
      <c r="H75" s="10"/>
    </row>
    <row r="76">
      <c r="E76" s="10"/>
      <c r="F76" s="14"/>
      <c r="G76" s="7"/>
      <c r="H76" s="10"/>
    </row>
    <row r="77">
      <c r="E77" s="10"/>
      <c r="F77" s="14"/>
      <c r="G77" s="7"/>
      <c r="H77" s="10"/>
    </row>
    <row r="78">
      <c r="E78" s="10"/>
      <c r="F78" s="14"/>
      <c r="G78" s="7"/>
      <c r="H78" s="10"/>
    </row>
    <row r="79">
      <c r="E79" s="10"/>
      <c r="F79" s="14"/>
      <c r="G79" s="7"/>
      <c r="H79" s="10"/>
    </row>
    <row r="80">
      <c r="E80" s="10"/>
      <c r="F80" s="14"/>
      <c r="G80" s="7"/>
      <c r="H80" s="10"/>
    </row>
    <row r="81">
      <c r="E81" s="10"/>
      <c r="F81" s="14"/>
      <c r="G81" s="7"/>
      <c r="H81" s="10"/>
    </row>
    <row r="82">
      <c r="E82" s="10"/>
      <c r="F82" s="14"/>
      <c r="G82" s="7"/>
      <c r="H82" s="10"/>
    </row>
    <row r="83">
      <c r="E83" s="10"/>
      <c r="F83" s="14"/>
      <c r="G83" s="7"/>
      <c r="H83" s="10"/>
    </row>
    <row r="84">
      <c r="E84" s="10"/>
      <c r="F84" s="14"/>
      <c r="G84" s="7"/>
      <c r="H84" s="10"/>
    </row>
    <row r="85">
      <c r="E85" s="10"/>
      <c r="F85" s="14"/>
      <c r="G85" s="7"/>
      <c r="H85" s="10"/>
    </row>
    <row r="86">
      <c r="E86" s="10"/>
      <c r="F86" s="14"/>
      <c r="G86" s="7"/>
      <c r="H86" s="10"/>
    </row>
    <row r="87">
      <c r="E87" s="10"/>
      <c r="F87" s="14"/>
      <c r="G87" s="7"/>
      <c r="H87" s="10"/>
    </row>
    <row r="88">
      <c r="E88" s="10"/>
      <c r="F88" s="14"/>
      <c r="G88" s="7"/>
      <c r="H88" s="10"/>
    </row>
    <row r="89">
      <c r="E89" s="10"/>
      <c r="F89" s="14"/>
      <c r="G89" s="7"/>
      <c r="H89" s="10"/>
    </row>
    <row r="90">
      <c r="E90" s="10"/>
      <c r="F90" s="14"/>
      <c r="G90" s="7"/>
      <c r="H90" s="10"/>
    </row>
    <row r="91">
      <c r="E91" s="10"/>
      <c r="F91" s="14"/>
      <c r="G91" s="7"/>
      <c r="H91" s="10"/>
    </row>
    <row r="92">
      <c r="E92" s="10"/>
      <c r="F92" s="14"/>
      <c r="G92" s="7"/>
      <c r="H92" s="10"/>
    </row>
    <row r="93">
      <c r="E93" s="10"/>
      <c r="F93" s="14"/>
      <c r="G93" s="7"/>
      <c r="H93" s="10"/>
    </row>
    <row r="94">
      <c r="E94" s="10"/>
      <c r="F94" s="14"/>
      <c r="G94" s="7"/>
      <c r="H94" s="10"/>
    </row>
    <row r="95">
      <c r="E95" s="10"/>
      <c r="F95" s="14"/>
      <c r="G95" s="7"/>
      <c r="H95" s="10"/>
    </row>
    <row r="96">
      <c r="E96" s="10"/>
      <c r="F96" s="14"/>
      <c r="G96" s="7"/>
      <c r="H96" s="10"/>
    </row>
    <row r="97">
      <c r="E97" s="10"/>
      <c r="F97" s="14"/>
      <c r="G97" s="7"/>
      <c r="H97" s="10"/>
    </row>
    <row r="98">
      <c r="E98" s="10"/>
      <c r="F98" s="14"/>
      <c r="G98" s="7"/>
      <c r="H98" s="10"/>
    </row>
    <row r="99">
      <c r="E99" s="10"/>
      <c r="F99" s="14"/>
      <c r="G99" s="7"/>
      <c r="H99" s="10"/>
    </row>
    <row r="100">
      <c r="E100" s="10"/>
      <c r="F100" s="14"/>
      <c r="G100" s="7"/>
      <c r="H100" s="10"/>
    </row>
    <row r="101">
      <c r="E101" s="10"/>
      <c r="F101" s="14"/>
      <c r="G101" s="7"/>
      <c r="H101" s="10"/>
    </row>
    <row r="102">
      <c r="E102" s="10"/>
      <c r="F102" s="14"/>
      <c r="G102" s="7"/>
      <c r="H102" s="10"/>
    </row>
    <row r="103">
      <c r="E103" s="10"/>
      <c r="F103" s="14"/>
      <c r="G103" s="7"/>
      <c r="H103" s="10"/>
    </row>
    <row r="104">
      <c r="E104" s="10"/>
      <c r="F104" s="14"/>
      <c r="G104" s="7"/>
      <c r="H104" s="10"/>
    </row>
    <row r="105">
      <c r="E105" s="10"/>
      <c r="F105" s="14"/>
      <c r="G105" s="7"/>
      <c r="H105" s="10"/>
    </row>
    <row r="106">
      <c r="E106" s="10"/>
      <c r="F106" s="14"/>
      <c r="G106" s="7"/>
      <c r="H106" s="10"/>
    </row>
    <row r="107">
      <c r="E107" s="10"/>
      <c r="F107" s="14"/>
      <c r="G107" s="7"/>
      <c r="H107" s="10"/>
    </row>
    <row r="108">
      <c r="E108" s="10"/>
      <c r="F108" s="14"/>
      <c r="G108" s="7"/>
      <c r="H108" s="10"/>
    </row>
    <row r="109">
      <c r="E109" s="10"/>
      <c r="F109" s="14"/>
      <c r="G109" s="7"/>
      <c r="H109" s="10"/>
    </row>
    <row r="110">
      <c r="E110" s="10"/>
      <c r="F110" s="14"/>
      <c r="G110" s="7"/>
      <c r="H110" s="10"/>
    </row>
    <row r="111">
      <c r="E111" s="10"/>
      <c r="F111" s="14"/>
      <c r="G111" s="7"/>
      <c r="H111" s="10"/>
    </row>
    <row r="112">
      <c r="E112" s="10"/>
      <c r="F112" s="14"/>
      <c r="G112" s="7"/>
      <c r="H112" s="10"/>
    </row>
    <row r="113">
      <c r="E113" s="10"/>
      <c r="F113" s="14"/>
      <c r="G113" s="7"/>
      <c r="H113" s="10"/>
    </row>
    <row r="114">
      <c r="E114" s="10"/>
      <c r="F114" s="14"/>
      <c r="G114" s="7"/>
      <c r="H114" s="10"/>
    </row>
    <row r="115">
      <c r="E115" s="10"/>
      <c r="F115" s="14"/>
      <c r="G115" s="7"/>
      <c r="H115" s="10"/>
    </row>
    <row r="116">
      <c r="E116" s="10"/>
      <c r="F116" s="14"/>
      <c r="G116" s="7"/>
      <c r="H116" s="10"/>
    </row>
    <row r="117">
      <c r="E117" s="10"/>
      <c r="F117" s="14"/>
      <c r="G117" s="7"/>
      <c r="H117" s="10"/>
    </row>
    <row r="118">
      <c r="E118" s="10"/>
      <c r="F118" s="14"/>
      <c r="G118" s="7"/>
      <c r="H118" s="10"/>
    </row>
    <row r="119">
      <c r="E119" s="10"/>
      <c r="F119" s="14"/>
      <c r="G119" s="7"/>
      <c r="H119" s="10"/>
    </row>
    <row r="120">
      <c r="E120" s="10"/>
      <c r="F120" s="14"/>
      <c r="G120" s="7"/>
      <c r="H120" s="10"/>
    </row>
    <row r="121">
      <c r="E121" s="10"/>
      <c r="F121" s="14"/>
      <c r="G121" s="7"/>
      <c r="H121" s="10"/>
    </row>
    <row r="122">
      <c r="E122" s="10"/>
      <c r="F122" s="14"/>
      <c r="G122" s="7"/>
      <c r="H122" s="10"/>
    </row>
    <row r="123">
      <c r="E123" s="10"/>
      <c r="F123" s="14"/>
      <c r="G123" s="7"/>
      <c r="H123" s="10"/>
    </row>
    <row r="124">
      <c r="E124" s="10"/>
      <c r="F124" s="14"/>
      <c r="G124" s="7"/>
      <c r="H124" s="10"/>
    </row>
    <row r="125">
      <c r="E125" s="10"/>
      <c r="F125" s="14"/>
      <c r="G125" s="7"/>
      <c r="H125" s="10"/>
    </row>
    <row r="126">
      <c r="E126" s="10"/>
      <c r="F126" s="14"/>
      <c r="G126" s="7"/>
      <c r="H126" s="10"/>
    </row>
    <row r="127">
      <c r="E127" s="10"/>
      <c r="F127" s="14"/>
      <c r="G127" s="7"/>
      <c r="H127" s="10"/>
    </row>
    <row r="128">
      <c r="E128" s="10"/>
      <c r="F128" s="14"/>
      <c r="G128" s="7"/>
      <c r="H128" s="10"/>
    </row>
    <row r="129">
      <c r="E129" s="10"/>
      <c r="F129" s="14"/>
      <c r="G129" s="7"/>
      <c r="H129" s="10"/>
    </row>
    <row r="130">
      <c r="E130" s="10"/>
      <c r="F130" s="14"/>
      <c r="G130" s="7"/>
      <c r="H130" s="10"/>
    </row>
    <row r="131">
      <c r="E131" s="10"/>
      <c r="F131" s="14"/>
      <c r="G131" s="7"/>
      <c r="H131" s="10"/>
    </row>
    <row r="132">
      <c r="E132" s="10"/>
      <c r="F132" s="14"/>
      <c r="G132" s="7"/>
      <c r="H132" s="10"/>
    </row>
    <row r="133">
      <c r="E133" s="10"/>
      <c r="F133" s="14"/>
      <c r="G133" s="7"/>
      <c r="H133" s="10"/>
    </row>
    <row r="134">
      <c r="E134" s="10"/>
      <c r="F134" s="14"/>
      <c r="G134" s="7"/>
      <c r="H134" s="10"/>
    </row>
    <row r="135">
      <c r="E135" s="10"/>
      <c r="F135" s="14"/>
      <c r="G135" s="7"/>
      <c r="H135" s="10"/>
    </row>
    <row r="136">
      <c r="E136" s="10"/>
      <c r="F136" s="14"/>
      <c r="G136" s="7"/>
      <c r="H136" s="10"/>
    </row>
    <row r="137">
      <c r="E137" s="10"/>
      <c r="F137" s="14"/>
      <c r="G137" s="7"/>
      <c r="H137" s="10"/>
    </row>
    <row r="138">
      <c r="E138" s="10"/>
      <c r="F138" s="14"/>
      <c r="G138" s="7"/>
      <c r="H138" s="10"/>
    </row>
    <row r="139">
      <c r="E139" s="10"/>
      <c r="F139" s="14"/>
      <c r="G139" s="7"/>
      <c r="H139" s="10"/>
    </row>
    <row r="140">
      <c r="E140" s="10"/>
      <c r="F140" s="14"/>
      <c r="G140" s="7"/>
      <c r="H140" s="10"/>
    </row>
    <row r="141">
      <c r="E141" s="10"/>
      <c r="F141" s="14"/>
      <c r="G141" s="7"/>
      <c r="H141" s="10"/>
    </row>
    <row r="142">
      <c r="E142" s="10"/>
      <c r="F142" s="14"/>
      <c r="G142" s="7"/>
      <c r="H142" s="10"/>
    </row>
    <row r="143">
      <c r="E143" s="10"/>
      <c r="F143" s="14"/>
      <c r="G143" s="7"/>
      <c r="H143" s="10"/>
    </row>
    <row r="144">
      <c r="E144" s="10"/>
      <c r="F144" s="14"/>
      <c r="G144" s="7"/>
      <c r="H144" s="10"/>
    </row>
    <row r="145">
      <c r="E145" s="10"/>
      <c r="F145" s="14"/>
      <c r="G145" s="7"/>
      <c r="H145" s="10"/>
    </row>
    <row r="146">
      <c r="E146" s="10"/>
      <c r="F146" s="14"/>
      <c r="G146" s="7"/>
      <c r="H146" s="10"/>
    </row>
    <row r="147">
      <c r="E147" s="10"/>
      <c r="F147" s="14"/>
      <c r="G147" s="7"/>
      <c r="H147" s="10"/>
    </row>
    <row r="148">
      <c r="E148" s="10"/>
      <c r="F148" s="14"/>
      <c r="G148" s="7"/>
      <c r="H148" s="10"/>
    </row>
    <row r="149">
      <c r="E149" s="10"/>
      <c r="F149" s="14"/>
      <c r="G149" s="7"/>
      <c r="H149" s="10"/>
    </row>
    <row r="150">
      <c r="E150" s="10"/>
      <c r="F150" s="14"/>
      <c r="G150" s="7"/>
      <c r="H150" s="10"/>
    </row>
    <row r="151">
      <c r="E151" s="10"/>
      <c r="F151" s="14"/>
      <c r="G151" s="7"/>
      <c r="H151" s="10"/>
    </row>
    <row r="152">
      <c r="E152" s="10"/>
      <c r="F152" s="14"/>
      <c r="G152" s="7"/>
      <c r="H152" s="10"/>
    </row>
    <row r="153">
      <c r="E153" s="10"/>
      <c r="F153" s="14"/>
      <c r="G153" s="7"/>
      <c r="H153" s="10"/>
    </row>
    <row r="154">
      <c r="E154" s="10"/>
      <c r="F154" s="14"/>
      <c r="G154" s="7"/>
      <c r="H154" s="10"/>
    </row>
    <row r="155">
      <c r="E155" s="10"/>
      <c r="F155" s="14"/>
      <c r="G155" s="7"/>
      <c r="H155" s="10"/>
    </row>
    <row r="156">
      <c r="E156" s="10"/>
      <c r="F156" s="14"/>
      <c r="G156" s="7"/>
      <c r="H156" s="10"/>
    </row>
    <row r="157">
      <c r="E157" s="10"/>
      <c r="F157" s="14"/>
      <c r="G157" s="7"/>
      <c r="H157" s="10"/>
    </row>
    <row r="158">
      <c r="E158" s="10"/>
      <c r="F158" s="14"/>
      <c r="G158" s="7"/>
      <c r="H158" s="10"/>
    </row>
    <row r="159">
      <c r="E159" s="10"/>
      <c r="F159" s="14"/>
      <c r="G159" s="7"/>
      <c r="H159" s="10"/>
    </row>
    <row r="160">
      <c r="E160" s="10"/>
      <c r="F160" s="14"/>
      <c r="G160" s="7"/>
      <c r="H160" s="10"/>
    </row>
    <row r="161">
      <c r="E161" s="10"/>
      <c r="F161" s="14"/>
      <c r="G161" s="7"/>
      <c r="H161" s="10"/>
    </row>
    <row r="162">
      <c r="E162" s="10"/>
      <c r="F162" s="14"/>
      <c r="G162" s="7"/>
      <c r="H162" s="10"/>
    </row>
    <row r="163">
      <c r="E163" s="10"/>
      <c r="F163" s="14"/>
      <c r="G163" s="7"/>
      <c r="H163" s="10"/>
    </row>
    <row r="164">
      <c r="E164" s="10"/>
      <c r="F164" s="14"/>
      <c r="G164" s="7"/>
      <c r="H164" s="10"/>
    </row>
    <row r="165">
      <c r="E165" s="10"/>
      <c r="F165" s="14"/>
      <c r="G165" s="7"/>
      <c r="H165" s="10"/>
    </row>
    <row r="166">
      <c r="E166" s="10"/>
      <c r="F166" s="14"/>
      <c r="G166" s="7"/>
      <c r="H166" s="10"/>
    </row>
    <row r="167">
      <c r="E167" s="10"/>
      <c r="F167" s="14"/>
      <c r="G167" s="7"/>
      <c r="H167" s="10"/>
    </row>
    <row r="168">
      <c r="E168" s="10"/>
      <c r="F168" s="14"/>
      <c r="G168" s="7"/>
      <c r="H168" s="10"/>
    </row>
    <row r="169">
      <c r="E169" s="10"/>
      <c r="F169" s="14"/>
      <c r="G169" s="7"/>
      <c r="H169" s="10"/>
    </row>
    <row r="170">
      <c r="E170" s="10"/>
      <c r="F170" s="14"/>
      <c r="G170" s="7"/>
      <c r="H170" s="10"/>
    </row>
    <row r="171">
      <c r="E171" s="10"/>
      <c r="F171" s="14"/>
      <c r="G171" s="7"/>
      <c r="H171" s="10"/>
    </row>
    <row r="172">
      <c r="E172" s="10"/>
      <c r="F172" s="14"/>
      <c r="G172" s="7"/>
      <c r="H172" s="10"/>
    </row>
    <row r="173">
      <c r="E173" s="10"/>
      <c r="F173" s="14"/>
      <c r="G173" s="7"/>
      <c r="H173" s="10"/>
    </row>
    <row r="174">
      <c r="E174" s="10"/>
      <c r="F174" s="14"/>
      <c r="G174" s="7"/>
      <c r="H174" s="10"/>
    </row>
    <row r="175">
      <c r="E175" s="10"/>
      <c r="F175" s="14"/>
      <c r="G175" s="7"/>
      <c r="H175" s="10"/>
    </row>
    <row r="176">
      <c r="E176" s="10"/>
      <c r="F176" s="14"/>
      <c r="G176" s="7"/>
      <c r="H176" s="10"/>
    </row>
    <row r="177">
      <c r="E177" s="10"/>
      <c r="F177" s="14"/>
      <c r="G177" s="7"/>
      <c r="H177" s="10"/>
    </row>
    <row r="178">
      <c r="E178" s="10"/>
      <c r="F178" s="14"/>
      <c r="G178" s="7"/>
      <c r="H178" s="10"/>
    </row>
    <row r="179">
      <c r="E179" s="10"/>
      <c r="F179" s="14"/>
      <c r="G179" s="7"/>
      <c r="H179" s="10"/>
    </row>
    <row r="180">
      <c r="E180" s="10"/>
      <c r="F180" s="14"/>
      <c r="G180" s="7"/>
      <c r="H180" s="10"/>
    </row>
    <row r="181">
      <c r="E181" s="10"/>
      <c r="F181" s="14"/>
      <c r="G181" s="7"/>
      <c r="H181" s="10"/>
    </row>
    <row r="182">
      <c r="E182" s="10"/>
      <c r="F182" s="14"/>
      <c r="G182" s="7"/>
      <c r="H182" s="10"/>
    </row>
    <row r="183">
      <c r="E183" s="10"/>
      <c r="F183" s="14"/>
      <c r="G183" s="7"/>
      <c r="H183" s="10"/>
    </row>
    <row r="184">
      <c r="E184" s="10"/>
      <c r="F184" s="14"/>
      <c r="G184" s="7"/>
      <c r="H184" s="10"/>
    </row>
    <row r="185">
      <c r="E185" s="10"/>
      <c r="F185" s="14"/>
      <c r="G185" s="7"/>
      <c r="H185" s="10"/>
    </row>
    <row r="186">
      <c r="E186" s="10"/>
      <c r="F186" s="14"/>
      <c r="G186" s="7"/>
      <c r="H186" s="10"/>
    </row>
    <row r="187">
      <c r="E187" s="10"/>
      <c r="F187" s="14"/>
      <c r="G187" s="7"/>
      <c r="H187" s="10"/>
    </row>
    <row r="188">
      <c r="E188" s="10"/>
      <c r="F188" s="14"/>
      <c r="G188" s="7"/>
      <c r="H188" s="10"/>
    </row>
    <row r="189">
      <c r="E189" s="10"/>
      <c r="F189" s="14"/>
      <c r="G189" s="7"/>
      <c r="H189" s="10"/>
    </row>
    <row r="190">
      <c r="E190" s="10"/>
      <c r="F190" s="14"/>
      <c r="G190" s="7"/>
      <c r="H190" s="10"/>
    </row>
    <row r="191">
      <c r="E191" s="10"/>
      <c r="F191" s="14"/>
      <c r="G191" s="7"/>
      <c r="H191" s="10"/>
    </row>
    <row r="192">
      <c r="E192" s="10"/>
      <c r="F192" s="14"/>
      <c r="G192" s="7"/>
      <c r="H192" s="10"/>
    </row>
    <row r="193">
      <c r="E193" s="10"/>
      <c r="F193" s="14"/>
      <c r="G193" s="7"/>
      <c r="H193" s="10"/>
    </row>
    <row r="194">
      <c r="E194" s="10"/>
      <c r="F194" s="14"/>
      <c r="G194" s="7"/>
      <c r="H194" s="10"/>
    </row>
    <row r="195">
      <c r="E195" s="10"/>
      <c r="F195" s="14"/>
      <c r="G195" s="7"/>
      <c r="H195" s="10"/>
    </row>
    <row r="196">
      <c r="E196" s="10"/>
      <c r="F196" s="14"/>
      <c r="G196" s="7"/>
      <c r="H196" s="10"/>
    </row>
    <row r="197">
      <c r="E197" s="10"/>
      <c r="F197" s="14"/>
      <c r="G197" s="7"/>
      <c r="H197" s="10"/>
    </row>
    <row r="198">
      <c r="E198" s="10"/>
      <c r="F198" s="14"/>
      <c r="G198" s="7"/>
      <c r="H198" s="10"/>
    </row>
    <row r="199">
      <c r="E199" s="10"/>
      <c r="F199" s="14"/>
      <c r="G199" s="7"/>
      <c r="H199" s="10"/>
    </row>
    <row r="200">
      <c r="E200" s="10"/>
      <c r="F200" s="14"/>
      <c r="G200" s="7"/>
      <c r="H200" s="10"/>
    </row>
    <row r="201">
      <c r="E201" s="10"/>
      <c r="F201" s="14"/>
      <c r="G201" s="7"/>
      <c r="H201" s="10"/>
    </row>
    <row r="202">
      <c r="E202" s="10"/>
      <c r="F202" s="14"/>
      <c r="G202" s="7"/>
      <c r="H202" s="10"/>
    </row>
    <row r="203">
      <c r="E203" s="10"/>
      <c r="F203" s="14"/>
      <c r="G203" s="7"/>
      <c r="H203" s="10"/>
    </row>
    <row r="204">
      <c r="E204" s="10"/>
      <c r="F204" s="14"/>
      <c r="G204" s="7"/>
      <c r="H204" s="10"/>
    </row>
    <row r="205">
      <c r="E205" s="10"/>
      <c r="F205" s="14"/>
      <c r="G205" s="7"/>
      <c r="H205" s="10"/>
    </row>
    <row r="206">
      <c r="E206" s="10"/>
      <c r="F206" s="14"/>
      <c r="G206" s="7"/>
      <c r="H206" s="10"/>
    </row>
    <row r="207">
      <c r="E207" s="10"/>
      <c r="F207" s="14"/>
      <c r="G207" s="7"/>
      <c r="H207" s="10"/>
    </row>
    <row r="208">
      <c r="E208" s="10"/>
      <c r="F208" s="14"/>
      <c r="G208" s="7"/>
      <c r="H208" s="10"/>
    </row>
    <row r="209">
      <c r="E209" s="10"/>
      <c r="F209" s="14"/>
      <c r="G209" s="7"/>
      <c r="H209" s="10"/>
    </row>
    <row r="210">
      <c r="E210" s="10"/>
      <c r="F210" s="14"/>
      <c r="G210" s="7"/>
      <c r="H210" s="10"/>
    </row>
    <row r="211">
      <c r="E211" s="10"/>
      <c r="F211" s="14"/>
      <c r="G211" s="7"/>
      <c r="H211" s="10"/>
    </row>
    <row r="212">
      <c r="E212" s="10"/>
      <c r="F212" s="14"/>
      <c r="G212" s="7"/>
      <c r="H212" s="10"/>
    </row>
    <row r="213">
      <c r="E213" s="10"/>
      <c r="F213" s="14"/>
      <c r="G213" s="7"/>
      <c r="H213" s="10"/>
    </row>
    <row r="214">
      <c r="E214" s="10"/>
      <c r="F214" s="14"/>
      <c r="G214" s="7"/>
      <c r="H214" s="10"/>
    </row>
    <row r="215">
      <c r="E215" s="10"/>
      <c r="F215" s="14"/>
      <c r="G215" s="7"/>
      <c r="H215" s="10"/>
    </row>
    <row r="216">
      <c r="E216" s="10"/>
      <c r="F216" s="14"/>
      <c r="G216" s="7"/>
      <c r="H216" s="10"/>
    </row>
    <row r="217">
      <c r="E217" s="10"/>
      <c r="F217" s="14"/>
      <c r="G217" s="7"/>
      <c r="H217" s="10"/>
    </row>
    <row r="218">
      <c r="E218" s="10"/>
      <c r="F218" s="14"/>
      <c r="G218" s="7"/>
      <c r="H218" s="10"/>
    </row>
    <row r="219">
      <c r="E219" s="10"/>
      <c r="F219" s="14"/>
      <c r="G219" s="7"/>
      <c r="H219" s="10"/>
    </row>
    <row r="220">
      <c r="E220" s="10"/>
      <c r="F220" s="14"/>
      <c r="G220" s="7"/>
      <c r="H220" s="10"/>
    </row>
    <row r="221">
      <c r="E221" s="10"/>
      <c r="F221" s="14"/>
      <c r="G221" s="7"/>
      <c r="H221" s="10"/>
    </row>
    <row r="222">
      <c r="E222" s="10"/>
      <c r="F222" s="14"/>
      <c r="G222" s="7"/>
      <c r="H222" s="10"/>
    </row>
    <row r="223">
      <c r="E223" s="10"/>
      <c r="F223" s="14"/>
      <c r="G223" s="7"/>
      <c r="H223" s="10"/>
    </row>
    <row r="224">
      <c r="E224" s="10"/>
      <c r="F224" s="14"/>
      <c r="G224" s="7"/>
      <c r="H224" s="10"/>
    </row>
    <row r="225">
      <c r="E225" s="10"/>
      <c r="F225" s="14"/>
      <c r="G225" s="7"/>
      <c r="H225" s="10"/>
    </row>
    <row r="226">
      <c r="E226" s="10"/>
      <c r="F226" s="14"/>
      <c r="G226" s="7"/>
      <c r="H226" s="10"/>
    </row>
    <row r="227">
      <c r="E227" s="10"/>
      <c r="F227" s="14"/>
      <c r="G227" s="7"/>
      <c r="H227" s="10"/>
    </row>
    <row r="228">
      <c r="E228" s="10"/>
      <c r="F228" s="14"/>
      <c r="G228" s="7"/>
      <c r="H228" s="10"/>
    </row>
    <row r="229">
      <c r="E229" s="10"/>
      <c r="F229" s="14"/>
      <c r="G229" s="7"/>
      <c r="H229" s="10"/>
    </row>
    <row r="230">
      <c r="E230" s="10"/>
      <c r="F230" s="14"/>
      <c r="G230" s="7"/>
      <c r="H230" s="10"/>
    </row>
    <row r="231">
      <c r="E231" s="10"/>
      <c r="F231" s="14"/>
      <c r="G231" s="7"/>
      <c r="H231" s="10"/>
    </row>
    <row r="232">
      <c r="E232" s="10"/>
      <c r="F232" s="14"/>
      <c r="G232" s="7"/>
      <c r="H232" s="10"/>
    </row>
    <row r="233">
      <c r="E233" s="10"/>
      <c r="F233" s="14"/>
      <c r="G233" s="7"/>
      <c r="H233" s="10"/>
    </row>
    <row r="234">
      <c r="E234" s="10"/>
      <c r="F234" s="14"/>
      <c r="G234" s="7"/>
      <c r="H234" s="10"/>
    </row>
    <row r="235">
      <c r="E235" s="10"/>
      <c r="F235" s="14"/>
      <c r="G235" s="7"/>
      <c r="H235" s="10"/>
    </row>
    <row r="236">
      <c r="E236" s="10"/>
      <c r="F236" s="14"/>
      <c r="G236" s="7"/>
      <c r="H236" s="10"/>
    </row>
    <row r="237">
      <c r="E237" s="10"/>
      <c r="F237" s="14"/>
      <c r="G237" s="7"/>
      <c r="H237" s="10"/>
    </row>
    <row r="238">
      <c r="E238" s="10"/>
      <c r="F238" s="14"/>
      <c r="G238" s="7"/>
      <c r="H238" s="10"/>
    </row>
    <row r="239">
      <c r="E239" s="10"/>
      <c r="F239" s="14"/>
      <c r="G239" s="7"/>
      <c r="H239" s="10"/>
    </row>
    <row r="240">
      <c r="E240" s="10"/>
      <c r="F240" s="14"/>
      <c r="G240" s="7"/>
      <c r="H240" s="10"/>
    </row>
    <row r="241">
      <c r="E241" s="10"/>
      <c r="F241" s="14"/>
      <c r="G241" s="7"/>
      <c r="H241" s="10"/>
    </row>
    <row r="242">
      <c r="E242" s="10"/>
      <c r="F242" s="14"/>
      <c r="G242" s="7"/>
      <c r="H242" s="10"/>
    </row>
    <row r="243">
      <c r="E243" s="10"/>
      <c r="F243" s="14"/>
      <c r="G243" s="7"/>
      <c r="H243" s="10"/>
    </row>
    <row r="244">
      <c r="E244" s="10"/>
      <c r="F244" s="14"/>
      <c r="G244" s="7"/>
      <c r="H244" s="10"/>
    </row>
    <row r="245">
      <c r="E245" s="10"/>
      <c r="F245" s="14"/>
      <c r="G245" s="7"/>
      <c r="H245" s="10"/>
    </row>
    <row r="246">
      <c r="E246" s="10"/>
      <c r="F246" s="14"/>
      <c r="G246" s="7"/>
      <c r="H246" s="10"/>
    </row>
    <row r="247">
      <c r="E247" s="10"/>
      <c r="F247" s="14"/>
      <c r="G247" s="7"/>
      <c r="H247" s="10"/>
    </row>
    <row r="248">
      <c r="E248" s="10"/>
      <c r="F248" s="14"/>
      <c r="G248" s="7"/>
      <c r="H248" s="10"/>
    </row>
    <row r="249">
      <c r="E249" s="10"/>
      <c r="F249" s="14"/>
      <c r="G249" s="7"/>
      <c r="H249" s="10"/>
    </row>
    <row r="250">
      <c r="E250" s="10"/>
      <c r="F250" s="14"/>
      <c r="G250" s="7"/>
      <c r="H250" s="10"/>
    </row>
    <row r="251">
      <c r="E251" s="10"/>
      <c r="F251" s="14"/>
      <c r="G251" s="7"/>
      <c r="H251" s="10"/>
    </row>
    <row r="252">
      <c r="E252" s="10"/>
      <c r="F252" s="14"/>
      <c r="G252" s="7"/>
      <c r="H252" s="10"/>
    </row>
    <row r="253">
      <c r="E253" s="10"/>
      <c r="F253" s="14"/>
      <c r="G253" s="7"/>
      <c r="H253" s="10"/>
    </row>
    <row r="254">
      <c r="E254" s="10"/>
      <c r="F254" s="14"/>
      <c r="G254" s="7"/>
      <c r="H254" s="10"/>
    </row>
    <row r="255">
      <c r="E255" s="10"/>
      <c r="F255" s="14"/>
      <c r="G255" s="7"/>
      <c r="H255" s="10"/>
    </row>
    <row r="256">
      <c r="E256" s="10"/>
      <c r="F256" s="14"/>
      <c r="G256" s="7"/>
      <c r="H256" s="10"/>
    </row>
    <row r="257">
      <c r="E257" s="10"/>
      <c r="F257" s="14"/>
      <c r="G257" s="7"/>
      <c r="H257" s="10"/>
    </row>
    <row r="258">
      <c r="E258" s="10"/>
      <c r="F258" s="14"/>
      <c r="G258" s="7"/>
      <c r="H258" s="10"/>
    </row>
    <row r="259">
      <c r="E259" s="10"/>
      <c r="F259" s="14"/>
      <c r="G259" s="7"/>
      <c r="H259" s="10"/>
    </row>
    <row r="260">
      <c r="E260" s="10"/>
      <c r="F260" s="14"/>
      <c r="G260" s="7"/>
      <c r="H260" s="10"/>
    </row>
    <row r="261">
      <c r="E261" s="10"/>
      <c r="F261" s="14"/>
      <c r="G261" s="7"/>
      <c r="H261" s="10"/>
    </row>
    <row r="262">
      <c r="E262" s="10"/>
      <c r="F262" s="14"/>
      <c r="G262" s="7"/>
      <c r="H262" s="10"/>
    </row>
    <row r="263">
      <c r="E263" s="10"/>
      <c r="F263" s="14"/>
      <c r="G263" s="7"/>
      <c r="H263" s="10"/>
    </row>
    <row r="264">
      <c r="E264" s="10"/>
      <c r="F264" s="14"/>
      <c r="G264" s="7"/>
      <c r="H264" s="10"/>
    </row>
    <row r="265">
      <c r="E265" s="10"/>
      <c r="F265" s="14"/>
      <c r="G265" s="7"/>
      <c r="H265" s="10"/>
    </row>
    <row r="266">
      <c r="E266" s="10"/>
      <c r="F266" s="14"/>
      <c r="G266" s="7"/>
      <c r="H266" s="10"/>
    </row>
    <row r="267">
      <c r="E267" s="10"/>
      <c r="F267" s="14"/>
      <c r="G267" s="7"/>
      <c r="H267" s="10"/>
    </row>
    <row r="268">
      <c r="E268" s="10"/>
      <c r="F268" s="14"/>
      <c r="G268" s="7"/>
      <c r="H268" s="10"/>
    </row>
    <row r="269">
      <c r="E269" s="10"/>
      <c r="F269" s="14"/>
      <c r="G269" s="7"/>
      <c r="H269" s="10"/>
    </row>
    <row r="270">
      <c r="E270" s="10"/>
      <c r="F270" s="14"/>
      <c r="G270" s="7"/>
      <c r="H270" s="10"/>
    </row>
    <row r="271">
      <c r="E271" s="10"/>
      <c r="F271" s="14"/>
      <c r="G271" s="7"/>
      <c r="H271" s="10"/>
    </row>
    <row r="272">
      <c r="E272" s="10"/>
      <c r="F272" s="14"/>
      <c r="G272" s="7"/>
      <c r="H272" s="10"/>
    </row>
    <row r="273">
      <c r="E273" s="10"/>
      <c r="F273" s="14"/>
      <c r="G273" s="7"/>
      <c r="H273" s="10"/>
    </row>
    <row r="274">
      <c r="E274" s="10"/>
      <c r="F274" s="14"/>
      <c r="G274" s="7"/>
      <c r="H274" s="10"/>
    </row>
    <row r="275">
      <c r="E275" s="10"/>
      <c r="F275" s="14"/>
      <c r="G275" s="7"/>
      <c r="H275" s="10"/>
    </row>
    <row r="276">
      <c r="E276" s="10"/>
      <c r="F276" s="14"/>
      <c r="G276" s="7"/>
      <c r="H276" s="10"/>
    </row>
    <row r="277">
      <c r="E277" s="10"/>
      <c r="F277" s="14"/>
      <c r="G277" s="7"/>
      <c r="H277" s="10"/>
    </row>
    <row r="278">
      <c r="E278" s="10"/>
      <c r="F278" s="14"/>
      <c r="G278" s="7"/>
      <c r="H278" s="10"/>
    </row>
    <row r="279">
      <c r="E279" s="10"/>
      <c r="F279" s="14"/>
      <c r="G279" s="7"/>
      <c r="H279" s="10"/>
    </row>
    <row r="280">
      <c r="E280" s="10"/>
      <c r="F280" s="14"/>
      <c r="G280" s="7"/>
      <c r="H280" s="10"/>
    </row>
    <row r="281">
      <c r="E281" s="10"/>
      <c r="F281" s="14"/>
      <c r="G281" s="7"/>
      <c r="H281" s="10"/>
    </row>
    <row r="282">
      <c r="E282" s="10"/>
      <c r="F282" s="14"/>
      <c r="G282" s="7"/>
      <c r="H282" s="10"/>
    </row>
    <row r="283">
      <c r="E283" s="10"/>
      <c r="F283" s="14"/>
      <c r="G283" s="7"/>
      <c r="H283" s="10"/>
    </row>
    <row r="284">
      <c r="E284" s="10"/>
      <c r="F284" s="14"/>
      <c r="G284" s="7"/>
      <c r="H284" s="10"/>
    </row>
    <row r="285">
      <c r="E285" s="10"/>
      <c r="F285" s="14"/>
      <c r="G285" s="7"/>
      <c r="H285" s="10"/>
    </row>
    <row r="286">
      <c r="E286" s="10"/>
      <c r="F286" s="14"/>
      <c r="G286" s="7"/>
      <c r="H286" s="10"/>
    </row>
    <row r="287">
      <c r="E287" s="10"/>
      <c r="F287" s="14"/>
      <c r="G287" s="7"/>
      <c r="H287" s="10"/>
    </row>
    <row r="288">
      <c r="E288" s="10"/>
      <c r="F288" s="14"/>
      <c r="G288" s="7"/>
      <c r="H288" s="10"/>
    </row>
    <row r="289">
      <c r="E289" s="10"/>
      <c r="F289" s="14"/>
      <c r="G289" s="7"/>
      <c r="H289" s="10"/>
    </row>
    <row r="290">
      <c r="E290" s="10"/>
      <c r="F290" s="14"/>
      <c r="G290" s="7"/>
      <c r="H290" s="10"/>
    </row>
    <row r="291">
      <c r="E291" s="10"/>
      <c r="F291" s="14"/>
      <c r="G291" s="7"/>
      <c r="H291" s="10"/>
    </row>
    <row r="292">
      <c r="E292" s="10"/>
      <c r="F292" s="14"/>
      <c r="G292" s="7"/>
      <c r="H292" s="10"/>
    </row>
    <row r="293">
      <c r="E293" s="10"/>
      <c r="F293" s="14"/>
      <c r="G293" s="7"/>
      <c r="H293" s="10"/>
    </row>
    <row r="294">
      <c r="E294" s="10"/>
      <c r="F294" s="14"/>
      <c r="G294" s="7"/>
      <c r="H294" s="10"/>
    </row>
    <row r="295">
      <c r="E295" s="10"/>
      <c r="F295" s="14"/>
      <c r="G295" s="7"/>
      <c r="H295" s="10"/>
    </row>
    <row r="296">
      <c r="E296" s="10"/>
      <c r="F296" s="14"/>
      <c r="G296" s="7"/>
      <c r="H296" s="10"/>
    </row>
    <row r="297">
      <c r="E297" s="10"/>
      <c r="F297" s="14"/>
      <c r="G297" s="7"/>
      <c r="H297" s="10"/>
    </row>
    <row r="298">
      <c r="E298" s="10"/>
      <c r="F298" s="14"/>
      <c r="G298" s="7"/>
      <c r="H298" s="10"/>
    </row>
    <row r="299">
      <c r="E299" s="10"/>
      <c r="F299" s="14"/>
      <c r="G299" s="7"/>
      <c r="H299" s="10"/>
    </row>
    <row r="300">
      <c r="E300" s="10"/>
      <c r="F300" s="14"/>
      <c r="G300" s="7"/>
      <c r="H300" s="10"/>
    </row>
    <row r="301">
      <c r="E301" s="10"/>
      <c r="F301" s="14"/>
      <c r="G301" s="7"/>
      <c r="H301" s="10"/>
    </row>
    <row r="302">
      <c r="E302" s="10"/>
      <c r="F302" s="14"/>
      <c r="G302" s="7"/>
      <c r="H302" s="10"/>
    </row>
    <row r="303">
      <c r="E303" s="10"/>
      <c r="F303" s="14"/>
      <c r="G303" s="7"/>
      <c r="H303" s="10"/>
    </row>
    <row r="304">
      <c r="E304" s="10"/>
      <c r="F304" s="14"/>
      <c r="G304" s="7"/>
      <c r="H304" s="10"/>
    </row>
    <row r="305">
      <c r="E305" s="10"/>
      <c r="F305" s="14"/>
      <c r="G305" s="7"/>
      <c r="H305" s="10"/>
    </row>
    <row r="306">
      <c r="E306" s="10"/>
      <c r="F306" s="14"/>
      <c r="G306" s="7"/>
      <c r="H306" s="10"/>
    </row>
    <row r="307">
      <c r="E307" s="10"/>
      <c r="F307" s="14"/>
      <c r="G307" s="7"/>
      <c r="H307" s="10"/>
    </row>
    <row r="308">
      <c r="E308" s="10"/>
      <c r="F308" s="14"/>
      <c r="G308" s="7"/>
      <c r="H308" s="10"/>
    </row>
    <row r="309">
      <c r="E309" s="10"/>
      <c r="F309" s="14"/>
      <c r="G309" s="7"/>
      <c r="H309" s="10"/>
    </row>
    <row r="310">
      <c r="E310" s="10"/>
      <c r="F310" s="14"/>
      <c r="G310" s="7"/>
      <c r="H310" s="10"/>
    </row>
    <row r="311">
      <c r="E311" s="10"/>
      <c r="F311" s="14"/>
      <c r="G311" s="7"/>
      <c r="H311" s="10"/>
    </row>
    <row r="312">
      <c r="E312" s="10"/>
      <c r="F312" s="14"/>
      <c r="G312" s="7"/>
      <c r="H312" s="10"/>
    </row>
    <row r="313">
      <c r="E313" s="10"/>
      <c r="F313" s="14"/>
      <c r="G313" s="7"/>
      <c r="H313" s="10"/>
    </row>
    <row r="314">
      <c r="E314" s="10"/>
      <c r="F314" s="14"/>
      <c r="G314" s="7"/>
      <c r="H314" s="10"/>
    </row>
    <row r="315">
      <c r="E315" s="10"/>
      <c r="F315" s="14"/>
      <c r="G315" s="7"/>
      <c r="H315" s="10"/>
    </row>
    <row r="316">
      <c r="E316" s="10"/>
      <c r="F316" s="14"/>
      <c r="G316" s="7"/>
      <c r="H316" s="10"/>
    </row>
    <row r="317">
      <c r="E317" s="10"/>
      <c r="F317" s="14"/>
      <c r="G317" s="7"/>
      <c r="H317" s="10"/>
    </row>
    <row r="318">
      <c r="E318" s="10"/>
      <c r="F318" s="14"/>
      <c r="G318" s="7"/>
      <c r="H318" s="10"/>
    </row>
    <row r="319">
      <c r="E319" s="10"/>
      <c r="F319" s="14"/>
      <c r="G319" s="7"/>
      <c r="H319" s="10"/>
    </row>
    <row r="320">
      <c r="E320" s="10"/>
      <c r="F320" s="14"/>
      <c r="G320" s="7"/>
      <c r="H320" s="10"/>
    </row>
    <row r="321">
      <c r="E321" s="10"/>
      <c r="F321" s="14"/>
      <c r="G321" s="7"/>
      <c r="H321" s="10"/>
    </row>
    <row r="322">
      <c r="E322" s="10"/>
      <c r="F322" s="14"/>
      <c r="G322" s="7"/>
      <c r="H322" s="10"/>
    </row>
    <row r="323">
      <c r="E323" s="10"/>
      <c r="F323" s="14"/>
      <c r="G323" s="7"/>
      <c r="H323" s="10"/>
    </row>
    <row r="324">
      <c r="E324" s="10"/>
      <c r="F324" s="14"/>
      <c r="G324" s="7"/>
      <c r="H324" s="10"/>
    </row>
    <row r="325">
      <c r="E325" s="10"/>
      <c r="F325" s="14"/>
      <c r="G325" s="7"/>
      <c r="H325" s="10"/>
    </row>
    <row r="326">
      <c r="E326" s="10"/>
      <c r="F326" s="14"/>
      <c r="G326" s="7"/>
      <c r="H326" s="10"/>
    </row>
    <row r="327">
      <c r="E327" s="10"/>
      <c r="F327" s="14"/>
      <c r="G327" s="7"/>
      <c r="H327" s="10"/>
    </row>
    <row r="328">
      <c r="E328" s="10"/>
      <c r="F328" s="14"/>
      <c r="G328" s="7"/>
      <c r="H328" s="10"/>
    </row>
    <row r="329">
      <c r="E329" s="10"/>
      <c r="F329" s="14"/>
      <c r="G329" s="7"/>
      <c r="H329" s="10"/>
    </row>
    <row r="330">
      <c r="E330" s="10"/>
      <c r="F330" s="14"/>
      <c r="G330" s="7"/>
      <c r="H330" s="10"/>
    </row>
    <row r="331">
      <c r="E331" s="10"/>
      <c r="F331" s="14"/>
      <c r="G331" s="7"/>
      <c r="H331" s="10"/>
    </row>
    <row r="332">
      <c r="E332" s="10"/>
      <c r="F332" s="14"/>
      <c r="G332" s="7"/>
      <c r="H332" s="10"/>
    </row>
    <row r="333">
      <c r="E333" s="10"/>
      <c r="F333" s="14"/>
      <c r="G333" s="7"/>
      <c r="H333" s="10"/>
    </row>
    <row r="334">
      <c r="E334" s="10"/>
      <c r="F334" s="14"/>
      <c r="G334" s="7"/>
      <c r="H334" s="10"/>
    </row>
    <row r="335">
      <c r="E335" s="10"/>
      <c r="F335" s="14"/>
      <c r="G335" s="7"/>
      <c r="H335" s="10"/>
    </row>
    <row r="336">
      <c r="E336" s="10"/>
      <c r="F336" s="14"/>
      <c r="G336" s="7"/>
      <c r="H336" s="10"/>
    </row>
    <row r="337">
      <c r="E337" s="10"/>
      <c r="F337" s="14"/>
      <c r="G337" s="7"/>
      <c r="H337" s="10"/>
    </row>
    <row r="338">
      <c r="E338" s="10"/>
      <c r="F338" s="14"/>
      <c r="G338" s="7"/>
      <c r="H338" s="10"/>
    </row>
    <row r="339">
      <c r="E339" s="10"/>
      <c r="F339" s="14"/>
      <c r="G339" s="7"/>
      <c r="H339" s="10"/>
    </row>
    <row r="340">
      <c r="E340" s="10"/>
      <c r="F340" s="14"/>
      <c r="G340" s="7"/>
      <c r="H340" s="10"/>
    </row>
    <row r="341">
      <c r="E341" s="10"/>
      <c r="F341" s="14"/>
      <c r="G341" s="7"/>
      <c r="H341" s="10"/>
    </row>
    <row r="342">
      <c r="E342" s="10"/>
      <c r="F342" s="14"/>
      <c r="G342" s="7"/>
      <c r="H342" s="10"/>
    </row>
    <row r="343">
      <c r="E343" s="10"/>
      <c r="F343" s="14"/>
      <c r="G343" s="7"/>
      <c r="H343" s="10"/>
    </row>
    <row r="344">
      <c r="E344" s="10"/>
      <c r="F344" s="14"/>
      <c r="G344" s="7"/>
      <c r="H344" s="10"/>
    </row>
    <row r="345">
      <c r="E345" s="10"/>
      <c r="F345" s="14"/>
      <c r="G345" s="7"/>
      <c r="H345" s="10"/>
    </row>
    <row r="346">
      <c r="E346" s="10"/>
      <c r="F346" s="14"/>
      <c r="G346" s="7"/>
      <c r="H346" s="10"/>
    </row>
    <row r="347">
      <c r="E347" s="10"/>
      <c r="F347" s="14"/>
      <c r="G347" s="7"/>
      <c r="H347" s="10"/>
    </row>
    <row r="348">
      <c r="E348" s="10"/>
      <c r="F348" s="14"/>
      <c r="G348" s="7"/>
      <c r="H348" s="10"/>
    </row>
    <row r="349">
      <c r="E349" s="10"/>
      <c r="F349" s="14"/>
      <c r="G349" s="7"/>
      <c r="H349" s="10"/>
    </row>
    <row r="350">
      <c r="E350" s="10"/>
      <c r="F350" s="14"/>
      <c r="G350" s="7"/>
      <c r="H350" s="10"/>
    </row>
    <row r="351">
      <c r="E351" s="10"/>
      <c r="F351" s="14"/>
      <c r="G351" s="7"/>
      <c r="H351" s="10"/>
    </row>
    <row r="352">
      <c r="E352" s="10"/>
      <c r="F352" s="14"/>
      <c r="G352" s="7"/>
      <c r="H352" s="10"/>
    </row>
    <row r="353">
      <c r="E353" s="10"/>
      <c r="F353" s="14"/>
      <c r="G353" s="7"/>
      <c r="H353" s="10"/>
    </row>
    <row r="354">
      <c r="E354" s="10"/>
      <c r="F354" s="14"/>
      <c r="G354" s="7"/>
      <c r="H354" s="10"/>
    </row>
    <row r="355">
      <c r="E355" s="10"/>
      <c r="F355" s="14"/>
      <c r="G355" s="7"/>
      <c r="H355" s="10"/>
    </row>
    <row r="356">
      <c r="E356" s="10"/>
      <c r="F356" s="14"/>
      <c r="G356" s="7"/>
      <c r="H356" s="10"/>
    </row>
    <row r="357">
      <c r="E357" s="10"/>
      <c r="F357" s="14"/>
      <c r="G357" s="7"/>
      <c r="H357" s="10"/>
    </row>
    <row r="358">
      <c r="E358" s="10"/>
      <c r="F358" s="14"/>
      <c r="G358" s="7"/>
      <c r="H358" s="10"/>
    </row>
    <row r="359">
      <c r="E359" s="10"/>
      <c r="F359" s="14"/>
      <c r="G359" s="7"/>
      <c r="H359" s="10"/>
    </row>
    <row r="360">
      <c r="E360" s="10"/>
      <c r="F360" s="14"/>
      <c r="G360" s="7"/>
      <c r="H360" s="10"/>
    </row>
    <row r="361">
      <c r="E361" s="10"/>
      <c r="F361" s="14"/>
      <c r="G361" s="7"/>
      <c r="H361" s="10"/>
    </row>
    <row r="362">
      <c r="E362" s="10"/>
      <c r="F362" s="14"/>
      <c r="G362" s="7"/>
      <c r="H362" s="10"/>
    </row>
    <row r="363">
      <c r="E363" s="10"/>
      <c r="F363" s="14"/>
      <c r="G363" s="7"/>
      <c r="H363" s="10"/>
    </row>
    <row r="364">
      <c r="E364" s="10"/>
      <c r="F364" s="14"/>
      <c r="G364" s="7"/>
      <c r="H364" s="10"/>
    </row>
    <row r="365">
      <c r="E365" s="10"/>
      <c r="F365" s="14"/>
      <c r="G365" s="7"/>
      <c r="H365" s="10"/>
    </row>
    <row r="366">
      <c r="E366" s="10"/>
      <c r="F366" s="14"/>
      <c r="G366" s="7"/>
      <c r="H366" s="10"/>
    </row>
    <row r="367">
      <c r="E367" s="10"/>
      <c r="F367" s="14"/>
      <c r="G367" s="7"/>
      <c r="H367" s="10"/>
    </row>
    <row r="368">
      <c r="E368" s="10"/>
      <c r="F368" s="14"/>
      <c r="G368" s="7"/>
      <c r="H368" s="10"/>
    </row>
    <row r="369">
      <c r="E369" s="10"/>
      <c r="F369" s="14"/>
      <c r="G369" s="7"/>
      <c r="H369" s="10"/>
    </row>
    <row r="370">
      <c r="E370" s="10"/>
      <c r="F370" s="14"/>
      <c r="G370" s="7"/>
      <c r="H370" s="10"/>
    </row>
    <row r="371">
      <c r="E371" s="10"/>
      <c r="F371" s="14"/>
      <c r="G371" s="7"/>
      <c r="H371" s="10"/>
    </row>
    <row r="372">
      <c r="E372" s="10"/>
      <c r="F372" s="14"/>
      <c r="G372" s="7"/>
      <c r="H372" s="10"/>
    </row>
    <row r="373">
      <c r="E373" s="10"/>
      <c r="F373" s="14"/>
      <c r="G373" s="7"/>
      <c r="H373" s="10"/>
    </row>
    <row r="374">
      <c r="E374" s="10"/>
      <c r="F374" s="14"/>
      <c r="G374" s="7"/>
      <c r="H374" s="10"/>
    </row>
    <row r="375">
      <c r="E375" s="10"/>
      <c r="F375" s="14"/>
      <c r="G375" s="7"/>
      <c r="H375" s="10"/>
    </row>
    <row r="376">
      <c r="E376" s="10"/>
      <c r="F376" s="14"/>
      <c r="G376" s="7"/>
      <c r="H376" s="10"/>
    </row>
    <row r="377">
      <c r="E377" s="10"/>
      <c r="F377" s="14"/>
      <c r="G377" s="7"/>
      <c r="H377" s="10"/>
    </row>
    <row r="378">
      <c r="E378" s="10"/>
      <c r="F378" s="14"/>
      <c r="G378" s="7"/>
      <c r="H378" s="10"/>
    </row>
    <row r="379">
      <c r="E379" s="10"/>
      <c r="F379" s="14"/>
      <c r="G379" s="7"/>
      <c r="H379" s="10"/>
    </row>
    <row r="380">
      <c r="E380" s="10"/>
      <c r="F380" s="14"/>
      <c r="G380" s="7"/>
      <c r="H380" s="10"/>
    </row>
    <row r="381">
      <c r="E381" s="10"/>
      <c r="F381" s="14"/>
      <c r="G381" s="7"/>
      <c r="H381" s="10"/>
    </row>
    <row r="382">
      <c r="E382" s="10"/>
      <c r="F382" s="14"/>
      <c r="G382" s="7"/>
      <c r="H382" s="10"/>
    </row>
    <row r="383">
      <c r="E383" s="10"/>
      <c r="F383" s="14"/>
      <c r="G383" s="7"/>
      <c r="H383" s="10"/>
    </row>
    <row r="384">
      <c r="E384" s="10"/>
      <c r="F384" s="14"/>
      <c r="G384" s="7"/>
      <c r="H384" s="10"/>
    </row>
    <row r="385">
      <c r="E385" s="10"/>
      <c r="F385" s="14"/>
      <c r="G385" s="7"/>
      <c r="H385" s="10"/>
    </row>
    <row r="386">
      <c r="E386" s="10"/>
      <c r="F386" s="14"/>
      <c r="G386" s="7"/>
      <c r="H386" s="10"/>
    </row>
    <row r="387">
      <c r="E387" s="10"/>
      <c r="F387" s="14"/>
      <c r="G387" s="7"/>
      <c r="H387" s="10"/>
    </row>
    <row r="388">
      <c r="E388" s="10"/>
      <c r="F388" s="14"/>
      <c r="G388" s="7"/>
      <c r="H388" s="10"/>
    </row>
    <row r="389">
      <c r="E389" s="10"/>
      <c r="F389" s="14"/>
      <c r="G389" s="7"/>
      <c r="H389" s="10"/>
    </row>
    <row r="390">
      <c r="E390" s="10"/>
      <c r="F390" s="14"/>
      <c r="G390" s="7"/>
      <c r="H390" s="10"/>
    </row>
    <row r="391">
      <c r="E391" s="10"/>
      <c r="F391" s="14"/>
      <c r="G391" s="7"/>
      <c r="H391" s="10"/>
    </row>
    <row r="392">
      <c r="E392" s="10"/>
      <c r="F392" s="14"/>
      <c r="G392" s="7"/>
      <c r="H392" s="10"/>
    </row>
    <row r="393">
      <c r="E393" s="10"/>
      <c r="F393" s="14"/>
      <c r="G393" s="7"/>
      <c r="H393" s="10"/>
    </row>
    <row r="394">
      <c r="E394" s="10"/>
      <c r="F394" s="14"/>
      <c r="G394" s="7"/>
      <c r="H394" s="10"/>
    </row>
    <row r="395">
      <c r="E395" s="10"/>
      <c r="F395" s="14"/>
      <c r="G395" s="7"/>
      <c r="H395" s="10"/>
    </row>
    <row r="396">
      <c r="E396" s="10"/>
      <c r="F396" s="14"/>
      <c r="G396" s="7"/>
      <c r="H396" s="10"/>
    </row>
    <row r="397">
      <c r="E397" s="10"/>
      <c r="F397" s="14"/>
      <c r="G397" s="7"/>
      <c r="H397" s="10"/>
    </row>
    <row r="398">
      <c r="E398" s="10"/>
      <c r="F398" s="14"/>
      <c r="G398" s="7"/>
      <c r="H398" s="10"/>
    </row>
    <row r="399">
      <c r="E399" s="10"/>
      <c r="F399" s="14"/>
      <c r="G399" s="7"/>
      <c r="H399" s="10"/>
    </row>
    <row r="400">
      <c r="E400" s="10"/>
      <c r="F400" s="14"/>
      <c r="G400" s="7"/>
      <c r="H400" s="10"/>
    </row>
    <row r="401">
      <c r="E401" s="10"/>
      <c r="F401" s="14"/>
      <c r="G401" s="7"/>
      <c r="H401" s="10"/>
    </row>
    <row r="402">
      <c r="E402" s="10"/>
      <c r="F402" s="14"/>
      <c r="G402" s="7"/>
      <c r="H402" s="10"/>
    </row>
    <row r="403">
      <c r="E403" s="10"/>
      <c r="F403" s="14"/>
      <c r="G403" s="7"/>
      <c r="H403" s="10"/>
    </row>
    <row r="404">
      <c r="E404" s="10"/>
      <c r="F404" s="14"/>
      <c r="G404" s="7"/>
      <c r="H404" s="10"/>
    </row>
    <row r="405">
      <c r="E405" s="10"/>
      <c r="F405" s="14"/>
      <c r="G405" s="7"/>
      <c r="H405" s="10"/>
    </row>
    <row r="406">
      <c r="E406" s="10"/>
      <c r="F406" s="14"/>
      <c r="G406" s="7"/>
      <c r="H406" s="10"/>
    </row>
    <row r="407">
      <c r="E407" s="10"/>
      <c r="F407" s="14"/>
      <c r="G407" s="7"/>
      <c r="H407" s="10"/>
    </row>
    <row r="408">
      <c r="E408" s="10"/>
      <c r="F408" s="14"/>
      <c r="G408" s="7"/>
      <c r="H408" s="10"/>
    </row>
    <row r="409">
      <c r="E409" s="10"/>
      <c r="F409" s="14"/>
      <c r="G409" s="7"/>
      <c r="H409" s="10"/>
    </row>
    <row r="410">
      <c r="E410" s="10"/>
      <c r="F410" s="14"/>
      <c r="G410" s="7"/>
      <c r="H410" s="10"/>
    </row>
    <row r="411">
      <c r="E411" s="10"/>
      <c r="F411" s="14"/>
      <c r="G411" s="7"/>
      <c r="H411" s="10"/>
    </row>
    <row r="412">
      <c r="E412" s="10"/>
      <c r="F412" s="14"/>
      <c r="G412" s="7"/>
      <c r="H412" s="10"/>
    </row>
    <row r="413">
      <c r="E413" s="10"/>
      <c r="F413" s="14"/>
      <c r="G413" s="7"/>
      <c r="H413" s="10"/>
    </row>
    <row r="414">
      <c r="E414" s="10"/>
      <c r="F414" s="14"/>
      <c r="G414" s="7"/>
      <c r="H414" s="10"/>
    </row>
    <row r="415">
      <c r="E415" s="10"/>
      <c r="F415" s="14"/>
      <c r="G415" s="7"/>
      <c r="H415" s="10"/>
    </row>
    <row r="416">
      <c r="E416" s="10"/>
      <c r="F416" s="14"/>
      <c r="G416" s="7"/>
      <c r="H416" s="10"/>
    </row>
    <row r="417">
      <c r="E417" s="10"/>
      <c r="F417" s="14"/>
      <c r="G417" s="7"/>
      <c r="H417" s="10"/>
    </row>
    <row r="418">
      <c r="E418" s="10"/>
      <c r="F418" s="14"/>
      <c r="G418" s="7"/>
      <c r="H418" s="10"/>
    </row>
    <row r="419">
      <c r="E419" s="10"/>
      <c r="F419" s="14"/>
      <c r="G419" s="7"/>
      <c r="H419" s="10"/>
    </row>
    <row r="420">
      <c r="E420" s="10"/>
      <c r="F420" s="14"/>
      <c r="G420" s="7"/>
      <c r="H420" s="10"/>
    </row>
    <row r="421">
      <c r="E421" s="10"/>
      <c r="F421" s="14"/>
      <c r="G421" s="7"/>
      <c r="H421" s="10"/>
    </row>
    <row r="422">
      <c r="E422" s="10"/>
      <c r="F422" s="14"/>
      <c r="G422" s="7"/>
      <c r="H422" s="10"/>
    </row>
    <row r="423">
      <c r="E423" s="10"/>
      <c r="F423" s="14"/>
      <c r="G423" s="7"/>
      <c r="H423" s="10"/>
    </row>
    <row r="424">
      <c r="E424" s="10"/>
      <c r="F424" s="14"/>
      <c r="G424" s="7"/>
      <c r="H424" s="10"/>
    </row>
    <row r="425">
      <c r="E425" s="10"/>
      <c r="F425" s="14"/>
      <c r="G425" s="7"/>
      <c r="H425" s="10"/>
    </row>
    <row r="426">
      <c r="E426" s="10"/>
      <c r="F426" s="14"/>
      <c r="G426" s="7"/>
      <c r="H426" s="10"/>
    </row>
    <row r="427">
      <c r="E427" s="10"/>
      <c r="F427" s="14"/>
      <c r="G427" s="7"/>
      <c r="H427" s="10"/>
    </row>
    <row r="428">
      <c r="E428" s="10"/>
      <c r="F428" s="14"/>
      <c r="G428" s="7"/>
      <c r="H428" s="10"/>
    </row>
    <row r="429">
      <c r="E429" s="10"/>
      <c r="F429" s="14"/>
      <c r="G429" s="7"/>
      <c r="H429" s="10"/>
    </row>
    <row r="430">
      <c r="E430" s="10"/>
      <c r="F430" s="14"/>
      <c r="G430" s="7"/>
      <c r="H430" s="10"/>
    </row>
    <row r="431">
      <c r="E431" s="10"/>
      <c r="F431" s="14"/>
      <c r="G431" s="7"/>
      <c r="H431" s="10"/>
    </row>
    <row r="432">
      <c r="E432" s="10"/>
      <c r="F432" s="14"/>
      <c r="G432" s="7"/>
      <c r="H432" s="10"/>
    </row>
    <row r="433">
      <c r="E433" s="10"/>
      <c r="F433" s="14"/>
      <c r="G433" s="7"/>
      <c r="H433" s="10"/>
    </row>
    <row r="434">
      <c r="E434" s="10"/>
      <c r="F434" s="14"/>
      <c r="G434" s="7"/>
      <c r="H434" s="10"/>
    </row>
    <row r="435">
      <c r="E435" s="10"/>
      <c r="F435" s="14"/>
      <c r="G435" s="7"/>
      <c r="H435" s="10"/>
    </row>
    <row r="436">
      <c r="E436" s="10"/>
      <c r="F436" s="14"/>
      <c r="G436" s="7"/>
      <c r="H436" s="10"/>
    </row>
    <row r="437">
      <c r="E437" s="10"/>
      <c r="F437" s="14"/>
      <c r="G437" s="7"/>
      <c r="H437" s="10"/>
    </row>
    <row r="438">
      <c r="E438" s="10"/>
      <c r="F438" s="14"/>
      <c r="G438" s="7"/>
      <c r="H438" s="10"/>
    </row>
    <row r="439">
      <c r="E439" s="10"/>
      <c r="F439" s="14"/>
      <c r="G439" s="7"/>
      <c r="H439" s="10"/>
    </row>
    <row r="440">
      <c r="E440" s="10"/>
      <c r="F440" s="14"/>
      <c r="G440" s="7"/>
      <c r="H440" s="10"/>
    </row>
    <row r="441">
      <c r="E441" s="10"/>
      <c r="F441" s="14"/>
      <c r="G441" s="7"/>
      <c r="H441" s="10"/>
    </row>
    <row r="442">
      <c r="E442" s="10"/>
      <c r="F442" s="14"/>
      <c r="G442" s="7"/>
      <c r="H442" s="10"/>
    </row>
    <row r="443">
      <c r="E443" s="10"/>
      <c r="F443" s="14"/>
      <c r="G443" s="7"/>
      <c r="H443" s="10"/>
    </row>
    <row r="444">
      <c r="E444" s="10"/>
      <c r="F444" s="14"/>
      <c r="G444" s="7"/>
      <c r="H444" s="10"/>
    </row>
    <row r="445">
      <c r="E445" s="10"/>
      <c r="F445" s="14"/>
      <c r="G445" s="7"/>
      <c r="H445" s="10"/>
    </row>
    <row r="446">
      <c r="E446" s="10"/>
      <c r="F446" s="14"/>
      <c r="G446" s="7"/>
      <c r="H446" s="10"/>
    </row>
    <row r="447">
      <c r="E447" s="10"/>
      <c r="F447" s="14"/>
      <c r="G447" s="7"/>
      <c r="H447" s="10"/>
    </row>
    <row r="448">
      <c r="E448" s="10"/>
      <c r="F448" s="14"/>
      <c r="G448" s="7"/>
      <c r="H448" s="10"/>
    </row>
    <row r="449">
      <c r="E449" s="10"/>
      <c r="F449" s="14"/>
      <c r="G449" s="7"/>
      <c r="H449" s="10"/>
    </row>
    <row r="450">
      <c r="E450" s="10"/>
      <c r="F450" s="14"/>
      <c r="G450" s="7"/>
      <c r="H450" s="10"/>
    </row>
    <row r="451">
      <c r="E451" s="10"/>
      <c r="F451" s="14"/>
      <c r="G451" s="7"/>
      <c r="H451" s="10"/>
    </row>
    <row r="452">
      <c r="E452" s="10"/>
      <c r="F452" s="14"/>
      <c r="G452" s="7"/>
      <c r="H452" s="10"/>
    </row>
    <row r="453">
      <c r="E453" s="10"/>
      <c r="F453" s="14"/>
      <c r="G453" s="7"/>
      <c r="H453" s="10"/>
    </row>
    <row r="454">
      <c r="E454" s="10"/>
      <c r="F454" s="14"/>
      <c r="G454" s="7"/>
      <c r="H454" s="10"/>
    </row>
    <row r="455">
      <c r="E455" s="10"/>
      <c r="F455" s="14"/>
      <c r="G455" s="7"/>
      <c r="H455" s="10"/>
    </row>
    <row r="456">
      <c r="E456" s="10"/>
      <c r="F456" s="14"/>
      <c r="G456" s="7"/>
      <c r="H456" s="10"/>
    </row>
    <row r="457">
      <c r="E457" s="10"/>
      <c r="F457" s="14"/>
      <c r="G457" s="7"/>
      <c r="H457" s="10"/>
    </row>
    <row r="458">
      <c r="E458" s="10"/>
      <c r="F458" s="14"/>
      <c r="G458" s="7"/>
      <c r="H458" s="10"/>
    </row>
    <row r="459">
      <c r="E459" s="10"/>
      <c r="F459" s="14"/>
      <c r="G459" s="7"/>
      <c r="H459" s="10"/>
    </row>
    <row r="460">
      <c r="E460" s="10"/>
      <c r="F460" s="14"/>
      <c r="G460" s="7"/>
      <c r="H460" s="10"/>
    </row>
    <row r="461">
      <c r="E461" s="10"/>
      <c r="F461" s="14"/>
      <c r="G461" s="7"/>
      <c r="H461" s="10"/>
    </row>
    <row r="462">
      <c r="E462" s="10"/>
      <c r="F462" s="14"/>
      <c r="G462" s="7"/>
      <c r="H462" s="10"/>
    </row>
    <row r="463">
      <c r="E463" s="10"/>
      <c r="F463" s="14"/>
      <c r="G463" s="7"/>
      <c r="H463" s="10"/>
    </row>
    <row r="464">
      <c r="E464" s="10"/>
      <c r="F464" s="14"/>
      <c r="G464" s="7"/>
      <c r="H464" s="10"/>
    </row>
    <row r="465">
      <c r="E465" s="10"/>
      <c r="F465" s="14"/>
      <c r="G465" s="7"/>
      <c r="H465" s="10"/>
    </row>
    <row r="466">
      <c r="E466" s="10"/>
      <c r="F466" s="14"/>
      <c r="G466" s="7"/>
      <c r="H466" s="10"/>
    </row>
    <row r="467">
      <c r="E467" s="10"/>
      <c r="F467" s="14"/>
      <c r="G467" s="7"/>
      <c r="H467" s="10"/>
    </row>
    <row r="468">
      <c r="E468" s="10"/>
      <c r="F468" s="14"/>
      <c r="G468" s="7"/>
      <c r="H468" s="10"/>
    </row>
    <row r="469">
      <c r="E469" s="10"/>
      <c r="F469" s="14"/>
      <c r="G469" s="7"/>
      <c r="H469" s="10"/>
    </row>
    <row r="470">
      <c r="E470" s="10"/>
      <c r="F470" s="14"/>
      <c r="G470" s="7"/>
      <c r="H470" s="10"/>
    </row>
    <row r="471">
      <c r="E471" s="10"/>
      <c r="F471" s="14"/>
      <c r="G471" s="7"/>
      <c r="H471" s="10"/>
    </row>
    <row r="472">
      <c r="E472" s="10"/>
      <c r="F472" s="14"/>
      <c r="G472" s="7"/>
      <c r="H472" s="10"/>
    </row>
    <row r="473">
      <c r="E473" s="10"/>
      <c r="F473" s="14"/>
      <c r="G473" s="7"/>
      <c r="H473" s="10"/>
    </row>
    <row r="474">
      <c r="E474" s="10"/>
      <c r="F474" s="14"/>
      <c r="G474" s="7"/>
      <c r="H474" s="10"/>
    </row>
    <row r="475">
      <c r="E475" s="10"/>
      <c r="F475" s="14"/>
      <c r="G475" s="7"/>
      <c r="H475" s="10"/>
    </row>
    <row r="476">
      <c r="E476" s="10"/>
      <c r="F476" s="14"/>
      <c r="G476" s="7"/>
      <c r="H476" s="10"/>
    </row>
    <row r="477">
      <c r="E477" s="10"/>
      <c r="F477" s="14"/>
      <c r="G477" s="7"/>
      <c r="H477" s="10"/>
    </row>
    <row r="478">
      <c r="E478" s="10"/>
      <c r="F478" s="14"/>
      <c r="G478" s="7"/>
      <c r="H478" s="10"/>
    </row>
    <row r="479">
      <c r="E479" s="10"/>
      <c r="F479" s="14"/>
      <c r="G479" s="7"/>
      <c r="H479" s="10"/>
    </row>
    <row r="480">
      <c r="E480" s="10"/>
      <c r="F480" s="14"/>
      <c r="G480" s="7"/>
      <c r="H480" s="10"/>
    </row>
    <row r="481">
      <c r="E481" s="10"/>
      <c r="F481" s="14"/>
      <c r="G481" s="7"/>
      <c r="H481" s="10"/>
    </row>
    <row r="482">
      <c r="E482" s="10"/>
      <c r="F482" s="14"/>
      <c r="G482" s="7"/>
      <c r="H482" s="10"/>
    </row>
    <row r="483">
      <c r="E483" s="10"/>
      <c r="F483" s="14"/>
      <c r="G483" s="7"/>
      <c r="H483" s="10"/>
    </row>
    <row r="484">
      <c r="E484" s="10"/>
      <c r="F484" s="14"/>
      <c r="G484" s="7"/>
      <c r="H484" s="10"/>
    </row>
    <row r="485">
      <c r="E485" s="10"/>
      <c r="F485" s="14"/>
      <c r="G485" s="7"/>
      <c r="H485" s="10"/>
    </row>
    <row r="486">
      <c r="E486" s="10"/>
      <c r="F486" s="14"/>
      <c r="G486" s="7"/>
      <c r="H486" s="10"/>
    </row>
    <row r="487">
      <c r="E487" s="10"/>
      <c r="F487" s="14"/>
      <c r="G487" s="7"/>
      <c r="H487" s="10"/>
    </row>
    <row r="488">
      <c r="E488" s="10"/>
      <c r="F488" s="14"/>
      <c r="G488" s="7"/>
      <c r="H488" s="10"/>
    </row>
    <row r="489">
      <c r="E489" s="10"/>
      <c r="F489" s="14"/>
      <c r="G489" s="7"/>
      <c r="H489" s="10"/>
    </row>
    <row r="490">
      <c r="E490" s="10"/>
      <c r="F490" s="14"/>
      <c r="G490" s="7"/>
      <c r="H490" s="10"/>
    </row>
    <row r="491">
      <c r="E491" s="10"/>
      <c r="F491" s="14"/>
      <c r="G491" s="7"/>
      <c r="H491" s="10"/>
    </row>
    <row r="492">
      <c r="E492" s="10"/>
      <c r="F492" s="14"/>
      <c r="G492" s="7"/>
      <c r="H492" s="10"/>
    </row>
    <row r="493">
      <c r="E493" s="10"/>
      <c r="F493" s="14"/>
      <c r="G493" s="7"/>
      <c r="H493" s="10"/>
    </row>
    <row r="494">
      <c r="E494" s="10"/>
      <c r="F494" s="14"/>
      <c r="G494" s="7"/>
      <c r="H494" s="10"/>
    </row>
    <row r="495">
      <c r="E495" s="10"/>
      <c r="F495" s="14"/>
      <c r="G495" s="7"/>
      <c r="H495" s="10"/>
    </row>
    <row r="496">
      <c r="E496" s="10"/>
      <c r="F496" s="14"/>
      <c r="G496" s="7"/>
      <c r="H496" s="10"/>
    </row>
    <row r="497">
      <c r="E497" s="10"/>
      <c r="F497" s="14"/>
      <c r="G497" s="7"/>
      <c r="H497" s="10"/>
    </row>
    <row r="498">
      <c r="E498" s="10"/>
      <c r="F498" s="14"/>
      <c r="G498" s="7"/>
      <c r="H498" s="10"/>
    </row>
    <row r="499">
      <c r="E499" s="10"/>
      <c r="F499" s="14"/>
      <c r="G499" s="7"/>
      <c r="H499" s="10"/>
    </row>
    <row r="500">
      <c r="E500" s="10"/>
      <c r="F500" s="14"/>
      <c r="G500" s="7"/>
      <c r="H500" s="10"/>
    </row>
    <row r="501">
      <c r="E501" s="10"/>
      <c r="F501" s="14"/>
      <c r="G501" s="7"/>
      <c r="H501" s="10"/>
    </row>
    <row r="502">
      <c r="E502" s="10"/>
      <c r="F502" s="14"/>
      <c r="G502" s="7"/>
      <c r="H502" s="10"/>
    </row>
    <row r="503">
      <c r="E503" s="10"/>
      <c r="F503" s="14"/>
      <c r="G503" s="7"/>
      <c r="H503" s="10"/>
    </row>
    <row r="504">
      <c r="E504" s="10"/>
      <c r="F504" s="14"/>
      <c r="G504" s="7"/>
      <c r="H504" s="10"/>
    </row>
    <row r="505">
      <c r="E505" s="10"/>
      <c r="F505" s="14"/>
      <c r="G505" s="7"/>
      <c r="H505" s="10"/>
    </row>
    <row r="506">
      <c r="E506" s="10"/>
      <c r="F506" s="14"/>
      <c r="G506" s="7"/>
      <c r="H506" s="10"/>
    </row>
    <row r="507">
      <c r="E507" s="10"/>
      <c r="F507" s="14"/>
      <c r="G507" s="7"/>
      <c r="H507" s="10"/>
    </row>
    <row r="508">
      <c r="E508" s="10"/>
      <c r="F508" s="14"/>
      <c r="G508" s="7"/>
      <c r="H508" s="10"/>
    </row>
    <row r="509">
      <c r="E509" s="10"/>
      <c r="F509" s="14"/>
      <c r="G509" s="7"/>
      <c r="H509" s="10"/>
    </row>
    <row r="510">
      <c r="E510" s="10"/>
      <c r="F510" s="14"/>
      <c r="G510" s="7"/>
      <c r="H510" s="10"/>
    </row>
    <row r="511">
      <c r="E511" s="10"/>
      <c r="F511" s="14"/>
      <c r="G511" s="7"/>
      <c r="H511" s="10"/>
    </row>
    <row r="512">
      <c r="E512" s="10"/>
      <c r="F512" s="14"/>
      <c r="G512" s="7"/>
      <c r="H512" s="10"/>
    </row>
    <row r="513">
      <c r="E513" s="10"/>
      <c r="F513" s="14"/>
      <c r="G513" s="7"/>
      <c r="H513" s="10"/>
    </row>
    <row r="514">
      <c r="E514" s="10"/>
      <c r="F514" s="14"/>
      <c r="G514" s="7"/>
      <c r="H514" s="10"/>
    </row>
    <row r="515">
      <c r="E515" s="10"/>
      <c r="F515" s="14"/>
      <c r="G515" s="7"/>
      <c r="H515" s="10"/>
    </row>
    <row r="516">
      <c r="E516" s="10"/>
      <c r="F516" s="14"/>
      <c r="G516" s="7"/>
      <c r="H516" s="10"/>
    </row>
    <row r="517">
      <c r="E517" s="10"/>
      <c r="F517" s="14"/>
      <c r="G517" s="7"/>
      <c r="H517" s="10"/>
    </row>
    <row r="518">
      <c r="E518" s="10"/>
      <c r="F518" s="14"/>
      <c r="G518" s="7"/>
      <c r="H518" s="10"/>
    </row>
    <row r="519">
      <c r="E519" s="10"/>
      <c r="F519" s="14"/>
      <c r="G519" s="7"/>
      <c r="H519" s="10"/>
    </row>
    <row r="520">
      <c r="E520" s="10"/>
      <c r="F520" s="14"/>
      <c r="G520" s="7"/>
      <c r="H520" s="10"/>
    </row>
    <row r="521">
      <c r="E521" s="10"/>
      <c r="F521" s="14"/>
      <c r="G521" s="7"/>
      <c r="H521" s="10"/>
    </row>
    <row r="522">
      <c r="E522" s="10"/>
      <c r="F522" s="14"/>
      <c r="G522" s="7"/>
      <c r="H522" s="10"/>
    </row>
    <row r="523">
      <c r="E523" s="10"/>
      <c r="F523" s="14"/>
      <c r="G523" s="7"/>
      <c r="H523" s="10"/>
    </row>
    <row r="524">
      <c r="E524" s="10"/>
      <c r="F524" s="14"/>
      <c r="G524" s="7"/>
      <c r="H524" s="10"/>
    </row>
    <row r="525">
      <c r="E525" s="10"/>
      <c r="F525" s="14"/>
      <c r="G525" s="7"/>
      <c r="H525" s="10"/>
    </row>
    <row r="526">
      <c r="E526" s="10"/>
      <c r="F526" s="14"/>
      <c r="G526" s="7"/>
      <c r="H526" s="10"/>
    </row>
    <row r="527">
      <c r="E527" s="10"/>
      <c r="F527" s="14"/>
      <c r="G527" s="7"/>
      <c r="H527" s="10"/>
    </row>
    <row r="528">
      <c r="E528" s="10"/>
      <c r="F528" s="14"/>
      <c r="G528" s="7"/>
      <c r="H528" s="10"/>
    </row>
    <row r="529">
      <c r="E529" s="10"/>
      <c r="F529" s="14"/>
      <c r="G529" s="7"/>
      <c r="H529" s="10"/>
    </row>
    <row r="530">
      <c r="E530" s="10"/>
      <c r="F530" s="14"/>
      <c r="G530" s="7"/>
      <c r="H530" s="10"/>
    </row>
    <row r="531">
      <c r="E531" s="10"/>
      <c r="F531" s="14"/>
      <c r="G531" s="7"/>
      <c r="H531" s="10"/>
    </row>
    <row r="532">
      <c r="E532" s="10"/>
      <c r="F532" s="14"/>
      <c r="G532" s="7"/>
      <c r="H532" s="10"/>
    </row>
    <row r="533">
      <c r="E533" s="10"/>
      <c r="F533" s="14"/>
      <c r="G533" s="7"/>
      <c r="H533" s="10"/>
    </row>
    <row r="534">
      <c r="E534" s="10"/>
      <c r="F534" s="14"/>
      <c r="G534" s="7"/>
      <c r="H534" s="10"/>
    </row>
    <row r="535">
      <c r="E535" s="10"/>
      <c r="F535" s="14"/>
      <c r="G535" s="7"/>
      <c r="H535" s="10"/>
    </row>
    <row r="536">
      <c r="E536" s="10"/>
      <c r="F536" s="14"/>
      <c r="G536" s="7"/>
      <c r="H536" s="10"/>
    </row>
    <row r="537">
      <c r="E537" s="10"/>
      <c r="F537" s="14"/>
      <c r="G537" s="7"/>
      <c r="H537" s="10"/>
    </row>
    <row r="538">
      <c r="E538" s="10"/>
      <c r="F538" s="14"/>
      <c r="G538" s="7"/>
      <c r="H538" s="10"/>
    </row>
    <row r="539">
      <c r="E539" s="10"/>
      <c r="F539" s="14"/>
      <c r="G539" s="7"/>
      <c r="H539" s="10"/>
    </row>
    <row r="540">
      <c r="E540" s="10"/>
      <c r="F540" s="14"/>
      <c r="G540" s="7"/>
      <c r="H540" s="10"/>
    </row>
    <row r="541">
      <c r="E541" s="10"/>
      <c r="F541" s="14"/>
      <c r="G541" s="7"/>
      <c r="H541" s="10"/>
    </row>
    <row r="542">
      <c r="E542" s="10"/>
      <c r="F542" s="14"/>
      <c r="G542" s="7"/>
      <c r="H542" s="10"/>
    </row>
    <row r="543">
      <c r="E543" s="10"/>
      <c r="F543" s="14"/>
      <c r="G543" s="7"/>
      <c r="H543" s="10"/>
    </row>
    <row r="544">
      <c r="E544" s="10"/>
      <c r="F544" s="14"/>
      <c r="G544" s="7"/>
      <c r="H544" s="10"/>
    </row>
    <row r="545">
      <c r="E545" s="10"/>
      <c r="F545" s="14"/>
      <c r="G545" s="7"/>
      <c r="H545" s="10"/>
    </row>
    <row r="546">
      <c r="E546" s="10"/>
      <c r="F546" s="14"/>
      <c r="G546" s="7"/>
      <c r="H546" s="10"/>
    </row>
    <row r="547">
      <c r="E547" s="10"/>
      <c r="F547" s="14"/>
      <c r="G547" s="7"/>
      <c r="H547" s="10"/>
    </row>
    <row r="548">
      <c r="E548" s="10"/>
      <c r="F548" s="14"/>
      <c r="G548" s="7"/>
      <c r="H548" s="10"/>
    </row>
    <row r="549">
      <c r="E549" s="10"/>
      <c r="F549" s="14"/>
      <c r="G549" s="7"/>
      <c r="H549" s="10"/>
    </row>
    <row r="550">
      <c r="E550" s="10"/>
      <c r="F550" s="14"/>
      <c r="G550" s="7"/>
      <c r="H550" s="10"/>
    </row>
    <row r="551">
      <c r="E551" s="10"/>
      <c r="F551" s="14"/>
      <c r="G551" s="7"/>
      <c r="H551" s="10"/>
    </row>
    <row r="552">
      <c r="E552" s="10"/>
      <c r="F552" s="14"/>
      <c r="G552" s="7"/>
      <c r="H552" s="10"/>
    </row>
    <row r="553">
      <c r="E553" s="10"/>
      <c r="F553" s="14"/>
      <c r="G553" s="7"/>
      <c r="H553" s="10"/>
    </row>
    <row r="554">
      <c r="E554" s="10"/>
      <c r="F554" s="14"/>
      <c r="G554" s="7"/>
      <c r="H554" s="10"/>
    </row>
    <row r="555">
      <c r="E555" s="10"/>
      <c r="F555" s="14"/>
      <c r="G555" s="7"/>
      <c r="H555" s="10"/>
    </row>
    <row r="556">
      <c r="E556" s="10"/>
      <c r="F556" s="14"/>
      <c r="G556" s="7"/>
      <c r="H556" s="10"/>
    </row>
    <row r="557">
      <c r="E557" s="10"/>
      <c r="F557" s="14"/>
      <c r="G557" s="7"/>
      <c r="H557" s="10"/>
    </row>
    <row r="558">
      <c r="E558" s="10"/>
      <c r="F558" s="14"/>
      <c r="G558" s="7"/>
      <c r="H558" s="10"/>
    </row>
    <row r="559">
      <c r="E559" s="10"/>
      <c r="F559" s="14"/>
      <c r="G559" s="7"/>
      <c r="H559" s="10"/>
    </row>
    <row r="560">
      <c r="E560" s="10"/>
      <c r="F560" s="14"/>
      <c r="G560" s="7"/>
      <c r="H560" s="10"/>
    </row>
    <row r="561">
      <c r="E561" s="10"/>
      <c r="F561" s="14"/>
      <c r="G561" s="7"/>
      <c r="H561" s="10"/>
    </row>
    <row r="562">
      <c r="E562" s="10"/>
      <c r="F562" s="14"/>
      <c r="G562" s="7"/>
      <c r="H562" s="10"/>
    </row>
    <row r="563">
      <c r="E563" s="10"/>
      <c r="F563" s="14"/>
      <c r="G563" s="7"/>
      <c r="H563" s="10"/>
    </row>
    <row r="564">
      <c r="E564" s="10"/>
      <c r="F564" s="14"/>
      <c r="G564" s="7"/>
      <c r="H564" s="10"/>
    </row>
    <row r="565">
      <c r="E565" s="10"/>
      <c r="F565" s="14"/>
      <c r="G565" s="7"/>
      <c r="H565" s="10"/>
    </row>
    <row r="566">
      <c r="E566" s="10"/>
      <c r="F566" s="14"/>
      <c r="G566" s="7"/>
      <c r="H566" s="10"/>
    </row>
    <row r="567">
      <c r="E567" s="10"/>
      <c r="F567" s="14"/>
      <c r="G567" s="7"/>
      <c r="H567" s="10"/>
    </row>
    <row r="568">
      <c r="E568" s="10"/>
      <c r="F568" s="14"/>
      <c r="G568" s="7"/>
      <c r="H568" s="10"/>
    </row>
    <row r="569">
      <c r="E569" s="10"/>
      <c r="F569" s="14"/>
      <c r="G569" s="7"/>
      <c r="H569" s="10"/>
    </row>
    <row r="570">
      <c r="E570" s="10"/>
      <c r="F570" s="14"/>
      <c r="G570" s="7"/>
      <c r="H570" s="10"/>
    </row>
    <row r="571">
      <c r="E571" s="10"/>
      <c r="F571" s="14"/>
      <c r="G571" s="7"/>
      <c r="H571" s="10"/>
    </row>
    <row r="572">
      <c r="E572" s="10"/>
      <c r="F572" s="14"/>
      <c r="G572" s="7"/>
      <c r="H572" s="10"/>
    </row>
    <row r="573">
      <c r="E573" s="10"/>
      <c r="F573" s="14"/>
      <c r="G573" s="7"/>
      <c r="H573" s="10"/>
    </row>
    <row r="574">
      <c r="E574" s="10"/>
      <c r="F574" s="14"/>
      <c r="G574" s="7"/>
      <c r="H574" s="10"/>
    </row>
    <row r="575">
      <c r="E575" s="10"/>
      <c r="F575" s="14"/>
      <c r="G575" s="7"/>
      <c r="H575" s="10"/>
    </row>
    <row r="576">
      <c r="E576" s="10"/>
      <c r="F576" s="14"/>
      <c r="G576" s="7"/>
      <c r="H576" s="10"/>
    </row>
    <row r="577">
      <c r="E577" s="10"/>
      <c r="F577" s="14"/>
      <c r="G577" s="7"/>
      <c r="H577" s="10"/>
    </row>
    <row r="578">
      <c r="E578" s="10"/>
      <c r="F578" s="14"/>
      <c r="G578" s="7"/>
      <c r="H578" s="10"/>
    </row>
    <row r="579">
      <c r="E579" s="10"/>
      <c r="F579" s="14"/>
      <c r="G579" s="7"/>
      <c r="H579" s="10"/>
    </row>
    <row r="580">
      <c r="E580" s="10"/>
      <c r="F580" s="14"/>
      <c r="G580" s="7"/>
      <c r="H580" s="10"/>
    </row>
    <row r="581">
      <c r="E581" s="10"/>
      <c r="F581" s="14"/>
      <c r="G581" s="7"/>
      <c r="H581" s="10"/>
    </row>
    <row r="582">
      <c r="E582" s="10"/>
      <c r="F582" s="14"/>
      <c r="G582" s="7"/>
      <c r="H582" s="10"/>
    </row>
    <row r="583">
      <c r="E583" s="10"/>
      <c r="F583" s="14"/>
      <c r="G583" s="7"/>
      <c r="H583" s="10"/>
    </row>
    <row r="584">
      <c r="E584" s="10"/>
      <c r="F584" s="14"/>
      <c r="G584" s="7"/>
      <c r="H584" s="10"/>
    </row>
    <row r="585">
      <c r="E585" s="10"/>
      <c r="F585" s="14"/>
      <c r="G585" s="7"/>
      <c r="H585" s="10"/>
    </row>
    <row r="586">
      <c r="E586" s="10"/>
      <c r="F586" s="14"/>
      <c r="G586" s="7"/>
      <c r="H586" s="10"/>
    </row>
    <row r="587">
      <c r="E587" s="10"/>
      <c r="F587" s="14"/>
      <c r="G587" s="7"/>
      <c r="H587" s="10"/>
    </row>
    <row r="588">
      <c r="E588" s="10"/>
      <c r="F588" s="14"/>
      <c r="G588" s="7"/>
      <c r="H588" s="10"/>
    </row>
    <row r="589">
      <c r="E589" s="10"/>
      <c r="F589" s="14"/>
      <c r="G589" s="7"/>
      <c r="H589" s="10"/>
    </row>
    <row r="590">
      <c r="E590" s="10"/>
      <c r="F590" s="14"/>
      <c r="G590" s="7"/>
      <c r="H590" s="10"/>
    </row>
    <row r="591">
      <c r="E591" s="10"/>
      <c r="F591" s="14"/>
      <c r="G591" s="7"/>
      <c r="H591" s="10"/>
    </row>
    <row r="592">
      <c r="E592" s="10"/>
      <c r="F592" s="14"/>
      <c r="G592" s="7"/>
      <c r="H592" s="10"/>
    </row>
    <row r="593">
      <c r="E593" s="10"/>
      <c r="F593" s="14"/>
      <c r="G593" s="7"/>
      <c r="H593" s="10"/>
    </row>
    <row r="594">
      <c r="E594" s="10"/>
      <c r="F594" s="14"/>
      <c r="G594" s="7"/>
      <c r="H594" s="10"/>
    </row>
    <row r="595">
      <c r="E595" s="10"/>
      <c r="F595" s="14"/>
      <c r="G595" s="7"/>
      <c r="H595" s="10"/>
    </row>
    <row r="596">
      <c r="E596" s="10"/>
      <c r="F596" s="14"/>
      <c r="G596" s="7"/>
      <c r="H596" s="10"/>
    </row>
    <row r="597">
      <c r="E597" s="10"/>
      <c r="F597" s="14"/>
      <c r="G597" s="7"/>
      <c r="H597" s="10"/>
    </row>
    <row r="598">
      <c r="E598" s="10"/>
      <c r="F598" s="14"/>
      <c r="G598" s="7"/>
      <c r="H598" s="10"/>
    </row>
    <row r="599">
      <c r="E599" s="10"/>
      <c r="F599" s="14"/>
      <c r="G599" s="7"/>
      <c r="H599" s="10"/>
    </row>
    <row r="600">
      <c r="E600" s="10"/>
      <c r="F600" s="14"/>
      <c r="G600" s="7"/>
      <c r="H600" s="10"/>
    </row>
    <row r="601">
      <c r="E601" s="10"/>
      <c r="F601" s="14"/>
      <c r="G601" s="7"/>
      <c r="H601" s="10"/>
    </row>
    <row r="602">
      <c r="E602" s="10"/>
      <c r="F602" s="14"/>
      <c r="G602" s="7"/>
      <c r="H602" s="10"/>
    </row>
    <row r="603">
      <c r="E603" s="10"/>
      <c r="F603" s="14"/>
      <c r="G603" s="7"/>
      <c r="H603" s="10"/>
    </row>
    <row r="604">
      <c r="E604" s="10"/>
      <c r="F604" s="14"/>
      <c r="G604" s="7"/>
      <c r="H604" s="10"/>
    </row>
    <row r="605">
      <c r="E605" s="10"/>
      <c r="F605" s="14"/>
      <c r="G605" s="7"/>
      <c r="H605" s="10"/>
    </row>
    <row r="606">
      <c r="E606" s="10"/>
      <c r="F606" s="14"/>
      <c r="G606" s="7"/>
      <c r="H606" s="10"/>
    </row>
    <row r="607">
      <c r="E607" s="10"/>
      <c r="F607" s="14"/>
      <c r="G607" s="7"/>
      <c r="H607" s="10"/>
    </row>
    <row r="608">
      <c r="E608" s="10"/>
      <c r="F608" s="14"/>
      <c r="G608" s="7"/>
      <c r="H608" s="10"/>
    </row>
    <row r="609">
      <c r="E609" s="10"/>
      <c r="F609" s="14"/>
      <c r="G609" s="7"/>
      <c r="H609" s="10"/>
    </row>
    <row r="610">
      <c r="E610" s="10"/>
      <c r="F610" s="14"/>
      <c r="G610" s="7"/>
      <c r="H610" s="10"/>
    </row>
    <row r="611">
      <c r="E611" s="10"/>
      <c r="F611" s="14"/>
      <c r="G611" s="7"/>
      <c r="H611" s="10"/>
    </row>
    <row r="612">
      <c r="E612" s="10"/>
      <c r="F612" s="14"/>
      <c r="G612" s="7"/>
      <c r="H612" s="10"/>
    </row>
    <row r="613">
      <c r="E613" s="10"/>
      <c r="F613" s="14"/>
      <c r="G613" s="7"/>
      <c r="H613" s="10"/>
    </row>
    <row r="614">
      <c r="E614" s="10"/>
      <c r="F614" s="14"/>
      <c r="G614" s="7"/>
      <c r="H614" s="10"/>
    </row>
    <row r="615">
      <c r="E615" s="10"/>
      <c r="F615" s="14"/>
      <c r="G615" s="7"/>
      <c r="H615" s="10"/>
    </row>
    <row r="616">
      <c r="E616" s="10"/>
      <c r="F616" s="14"/>
      <c r="G616" s="7"/>
      <c r="H616" s="10"/>
    </row>
    <row r="617">
      <c r="E617" s="10"/>
      <c r="F617" s="14"/>
      <c r="G617" s="7"/>
      <c r="H617" s="10"/>
    </row>
    <row r="618">
      <c r="E618" s="10"/>
      <c r="F618" s="14"/>
      <c r="G618" s="7"/>
      <c r="H618" s="10"/>
    </row>
    <row r="619">
      <c r="E619" s="10"/>
      <c r="F619" s="14"/>
      <c r="G619" s="7"/>
      <c r="H619" s="10"/>
    </row>
    <row r="620">
      <c r="E620" s="10"/>
      <c r="F620" s="14"/>
      <c r="G620" s="7"/>
      <c r="H620" s="10"/>
    </row>
    <row r="621">
      <c r="E621" s="10"/>
      <c r="F621" s="14"/>
      <c r="G621" s="7"/>
      <c r="H621" s="10"/>
    </row>
    <row r="622">
      <c r="E622" s="10"/>
      <c r="F622" s="14"/>
      <c r="G622" s="7"/>
      <c r="H622" s="10"/>
    </row>
    <row r="623">
      <c r="E623" s="10"/>
      <c r="F623" s="14"/>
      <c r="G623" s="7"/>
      <c r="H623" s="10"/>
    </row>
    <row r="624">
      <c r="E624" s="10"/>
      <c r="F624" s="14"/>
      <c r="G624" s="7"/>
      <c r="H624" s="10"/>
    </row>
    <row r="625">
      <c r="E625" s="10"/>
      <c r="F625" s="14"/>
      <c r="G625" s="7"/>
      <c r="H625" s="10"/>
    </row>
    <row r="626">
      <c r="E626" s="10"/>
      <c r="F626" s="14"/>
      <c r="G626" s="7"/>
      <c r="H626" s="10"/>
    </row>
    <row r="627">
      <c r="E627" s="10"/>
      <c r="F627" s="14"/>
      <c r="G627" s="7"/>
      <c r="H627" s="10"/>
    </row>
    <row r="628">
      <c r="E628" s="10"/>
      <c r="F628" s="14"/>
      <c r="G628" s="7"/>
      <c r="H628" s="10"/>
    </row>
    <row r="629">
      <c r="E629" s="10"/>
      <c r="F629" s="14"/>
      <c r="G629" s="7"/>
      <c r="H629" s="10"/>
    </row>
    <row r="630">
      <c r="E630" s="10"/>
      <c r="F630" s="14"/>
      <c r="G630" s="7"/>
      <c r="H630" s="10"/>
    </row>
    <row r="631">
      <c r="E631" s="10"/>
      <c r="F631" s="14"/>
      <c r="G631" s="7"/>
      <c r="H631" s="10"/>
    </row>
    <row r="632">
      <c r="E632" s="10"/>
      <c r="F632" s="14"/>
      <c r="G632" s="7"/>
      <c r="H632" s="10"/>
    </row>
    <row r="633">
      <c r="E633" s="10"/>
      <c r="F633" s="14"/>
      <c r="G633" s="7"/>
      <c r="H633" s="10"/>
    </row>
    <row r="634">
      <c r="E634" s="10"/>
      <c r="F634" s="14"/>
      <c r="G634" s="7"/>
      <c r="H634" s="10"/>
    </row>
    <row r="635">
      <c r="E635" s="10"/>
      <c r="F635" s="14"/>
      <c r="G635" s="7"/>
      <c r="H635" s="10"/>
    </row>
    <row r="636">
      <c r="E636" s="10"/>
      <c r="F636" s="14"/>
      <c r="G636" s="7"/>
      <c r="H636" s="10"/>
    </row>
    <row r="637">
      <c r="E637" s="10"/>
      <c r="F637" s="14"/>
      <c r="G637" s="7"/>
      <c r="H637" s="10"/>
    </row>
    <row r="638">
      <c r="E638" s="10"/>
      <c r="F638" s="14"/>
      <c r="G638" s="7"/>
      <c r="H638" s="10"/>
    </row>
    <row r="639">
      <c r="E639" s="10"/>
      <c r="F639" s="14"/>
      <c r="G639" s="7"/>
      <c r="H639" s="10"/>
    </row>
    <row r="640">
      <c r="E640" s="10"/>
      <c r="F640" s="14"/>
      <c r="G640" s="7"/>
      <c r="H640" s="10"/>
    </row>
    <row r="641">
      <c r="E641" s="10"/>
      <c r="F641" s="14"/>
      <c r="G641" s="7"/>
      <c r="H641" s="10"/>
    </row>
    <row r="642">
      <c r="E642" s="10"/>
      <c r="F642" s="14"/>
      <c r="G642" s="7"/>
      <c r="H642" s="10"/>
    </row>
    <row r="643">
      <c r="E643" s="10"/>
      <c r="F643" s="14"/>
      <c r="G643" s="7"/>
      <c r="H643" s="10"/>
    </row>
    <row r="644">
      <c r="E644" s="10"/>
      <c r="F644" s="14"/>
      <c r="G644" s="7"/>
      <c r="H644" s="10"/>
    </row>
    <row r="645">
      <c r="E645" s="10"/>
      <c r="F645" s="14"/>
      <c r="G645" s="7"/>
      <c r="H645" s="10"/>
    </row>
    <row r="646">
      <c r="E646" s="10"/>
      <c r="F646" s="14"/>
      <c r="G646" s="7"/>
      <c r="H646" s="10"/>
    </row>
    <row r="647">
      <c r="E647" s="10"/>
      <c r="F647" s="14"/>
      <c r="G647" s="7"/>
      <c r="H647" s="10"/>
    </row>
    <row r="648">
      <c r="E648" s="10"/>
      <c r="F648" s="14"/>
      <c r="G648" s="7"/>
      <c r="H648" s="10"/>
    </row>
    <row r="649">
      <c r="E649" s="10"/>
      <c r="F649" s="14"/>
      <c r="G649" s="7"/>
      <c r="H649" s="10"/>
    </row>
    <row r="650">
      <c r="E650" s="10"/>
      <c r="F650" s="14"/>
      <c r="G650" s="7"/>
      <c r="H650" s="10"/>
    </row>
    <row r="651">
      <c r="E651" s="10"/>
      <c r="F651" s="14"/>
      <c r="G651" s="7"/>
      <c r="H651" s="10"/>
    </row>
    <row r="652">
      <c r="E652" s="10"/>
      <c r="F652" s="14"/>
      <c r="G652" s="7"/>
      <c r="H652" s="10"/>
    </row>
    <row r="653">
      <c r="E653" s="10"/>
      <c r="F653" s="14"/>
      <c r="G653" s="7"/>
      <c r="H653" s="10"/>
    </row>
    <row r="654">
      <c r="E654" s="10"/>
      <c r="F654" s="14"/>
      <c r="G654" s="7"/>
      <c r="H654" s="10"/>
    </row>
    <row r="655">
      <c r="E655" s="10"/>
      <c r="F655" s="14"/>
      <c r="G655" s="7"/>
      <c r="H655" s="10"/>
    </row>
    <row r="656">
      <c r="E656" s="10"/>
      <c r="F656" s="14"/>
      <c r="G656" s="7"/>
      <c r="H656" s="10"/>
    </row>
    <row r="657">
      <c r="E657" s="10"/>
      <c r="F657" s="14"/>
      <c r="G657" s="7"/>
      <c r="H657" s="10"/>
    </row>
    <row r="658">
      <c r="E658" s="10"/>
      <c r="F658" s="14"/>
      <c r="G658" s="7"/>
      <c r="H658" s="10"/>
    </row>
    <row r="659">
      <c r="E659" s="10"/>
      <c r="F659" s="14"/>
      <c r="G659" s="7"/>
      <c r="H659" s="10"/>
    </row>
    <row r="660">
      <c r="E660" s="10"/>
      <c r="F660" s="14"/>
      <c r="G660" s="7"/>
      <c r="H660" s="10"/>
    </row>
    <row r="661">
      <c r="E661" s="10"/>
      <c r="F661" s="14"/>
      <c r="G661" s="7"/>
      <c r="H661" s="10"/>
    </row>
    <row r="662">
      <c r="E662" s="10"/>
      <c r="F662" s="14"/>
      <c r="G662" s="7"/>
      <c r="H662" s="10"/>
    </row>
    <row r="663">
      <c r="E663" s="10"/>
      <c r="F663" s="14"/>
      <c r="G663" s="7"/>
      <c r="H663" s="10"/>
    </row>
    <row r="664">
      <c r="E664" s="10"/>
      <c r="F664" s="14"/>
      <c r="G664" s="7"/>
      <c r="H664" s="10"/>
    </row>
    <row r="665">
      <c r="E665" s="10"/>
      <c r="F665" s="14"/>
      <c r="G665" s="7"/>
      <c r="H665" s="10"/>
    </row>
    <row r="666">
      <c r="E666" s="10"/>
      <c r="F666" s="14"/>
      <c r="G666" s="7"/>
      <c r="H666" s="10"/>
    </row>
    <row r="667">
      <c r="E667" s="10"/>
      <c r="F667" s="14"/>
      <c r="G667" s="7"/>
      <c r="H667" s="10"/>
    </row>
    <row r="668">
      <c r="E668" s="10"/>
      <c r="F668" s="14"/>
      <c r="G668" s="7"/>
      <c r="H668" s="10"/>
    </row>
    <row r="669">
      <c r="E669" s="10"/>
      <c r="F669" s="14"/>
      <c r="G669" s="7"/>
      <c r="H669" s="10"/>
    </row>
    <row r="670">
      <c r="E670" s="10"/>
      <c r="F670" s="14"/>
      <c r="G670" s="7"/>
      <c r="H670" s="10"/>
    </row>
    <row r="671">
      <c r="E671" s="10"/>
      <c r="F671" s="14"/>
      <c r="G671" s="7"/>
      <c r="H671" s="10"/>
    </row>
    <row r="672">
      <c r="E672" s="10"/>
      <c r="F672" s="14"/>
      <c r="G672" s="7"/>
      <c r="H672" s="10"/>
    </row>
    <row r="673">
      <c r="E673" s="10"/>
      <c r="F673" s="14"/>
      <c r="G673" s="7"/>
      <c r="H673" s="10"/>
    </row>
    <row r="674">
      <c r="E674" s="10"/>
      <c r="F674" s="14"/>
      <c r="G674" s="7"/>
      <c r="H674" s="10"/>
    </row>
    <row r="675">
      <c r="E675" s="10"/>
      <c r="F675" s="14"/>
      <c r="G675" s="7"/>
      <c r="H675" s="10"/>
    </row>
    <row r="676">
      <c r="E676" s="10"/>
      <c r="F676" s="14"/>
      <c r="G676" s="7"/>
      <c r="H676" s="10"/>
    </row>
    <row r="677">
      <c r="E677" s="10"/>
      <c r="F677" s="14"/>
      <c r="G677" s="7"/>
      <c r="H677" s="10"/>
    </row>
    <row r="678">
      <c r="E678" s="10"/>
      <c r="F678" s="14"/>
      <c r="G678" s="7"/>
      <c r="H678" s="10"/>
    </row>
    <row r="679">
      <c r="E679" s="10"/>
      <c r="F679" s="14"/>
      <c r="G679" s="7"/>
      <c r="H679" s="10"/>
    </row>
    <row r="680">
      <c r="E680" s="10"/>
      <c r="F680" s="14"/>
      <c r="G680" s="7"/>
      <c r="H680" s="10"/>
    </row>
    <row r="681">
      <c r="E681" s="10"/>
      <c r="F681" s="14"/>
      <c r="G681" s="7"/>
      <c r="H681" s="10"/>
    </row>
    <row r="682">
      <c r="E682" s="10"/>
      <c r="F682" s="14"/>
      <c r="G682" s="7"/>
      <c r="H682" s="10"/>
    </row>
    <row r="683">
      <c r="E683" s="10"/>
      <c r="F683" s="14"/>
      <c r="G683" s="7"/>
      <c r="H683" s="10"/>
    </row>
    <row r="684">
      <c r="E684" s="10"/>
      <c r="F684" s="14"/>
      <c r="G684" s="7"/>
      <c r="H684" s="10"/>
    </row>
    <row r="685">
      <c r="E685" s="10"/>
      <c r="F685" s="14"/>
      <c r="G685" s="7"/>
      <c r="H685" s="10"/>
    </row>
    <row r="686">
      <c r="E686" s="10"/>
      <c r="F686" s="14"/>
      <c r="G686" s="7"/>
      <c r="H686" s="10"/>
    </row>
    <row r="687">
      <c r="E687" s="10"/>
      <c r="F687" s="14"/>
      <c r="G687" s="7"/>
      <c r="H687" s="10"/>
    </row>
    <row r="688">
      <c r="E688" s="10"/>
      <c r="F688" s="14"/>
      <c r="G688" s="7"/>
      <c r="H688" s="10"/>
    </row>
    <row r="689">
      <c r="E689" s="10"/>
      <c r="F689" s="14"/>
      <c r="G689" s="7"/>
      <c r="H689" s="10"/>
    </row>
    <row r="690">
      <c r="E690" s="10"/>
      <c r="F690" s="14"/>
      <c r="G690" s="7"/>
      <c r="H690" s="10"/>
    </row>
    <row r="691">
      <c r="E691" s="10"/>
      <c r="F691" s="14"/>
      <c r="G691" s="7"/>
      <c r="H691" s="10"/>
    </row>
    <row r="692">
      <c r="E692" s="10"/>
      <c r="F692" s="14"/>
      <c r="G692" s="7"/>
      <c r="H692" s="10"/>
    </row>
    <row r="693">
      <c r="E693" s="10"/>
      <c r="F693" s="14"/>
      <c r="G693" s="7"/>
      <c r="H693" s="10"/>
    </row>
    <row r="694">
      <c r="E694" s="10"/>
      <c r="F694" s="14"/>
      <c r="G694" s="7"/>
      <c r="H694" s="10"/>
    </row>
    <row r="695">
      <c r="E695" s="10"/>
      <c r="F695" s="14"/>
      <c r="G695" s="7"/>
      <c r="H695" s="10"/>
    </row>
    <row r="696">
      <c r="E696" s="10"/>
      <c r="F696" s="14"/>
      <c r="G696" s="7"/>
      <c r="H696" s="10"/>
    </row>
    <row r="697">
      <c r="E697" s="10"/>
      <c r="F697" s="14"/>
      <c r="G697" s="7"/>
      <c r="H697" s="10"/>
    </row>
    <row r="698">
      <c r="E698" s="10"/>
      <c r="F698" s="14"/>
      <c r="G698" s="7"/>
      <c r="H698" s="10"/>
    </row>
    <row r="699">
      <c r="E699" s="10"/>
      <c r="F699" s="14"/>
      <c r="G699" s="7"/>
      <c r="H699" s="10"/>
    </row>
    <row r="700">
      <c r="E700" s="10"/>
      <c r="F700" s="14"/>
      <c r="G700" s="7"/>
      <c r="H700" s="10"/>
    </row>
    <row r="701">
      <c r="E701" s="10"/>
      <c r="F701" s="14"/>
      <c r="G701" s="7"/>
      <c r="H701" s="10"/>
    </row>
    <row r="702">
      <c r="E702" s="10"/>
      <c r="F702" s="14"/>
      <c r="G702" s="7"/>
      <c r="H702" s="10"/>
    </row>
    <row r="703">
      <c r="E703" s="10"/>
      <c r="F703" s="14"/>
      <c r="G703" s="7"/>
      <c r="H703" s="10"/>
    </row>
    <row r="704">
      <c r="E704" s="10"/>
      <c r="F704" s="14"/>
      <c r="G704" s="7"/>
      <c r="H704" s="10"/>
    </row>
    <row r="705">
      <c r="E705" s="10"/>
      <c r="F705" s="14"/>
      <c r="G705" s="7"/>
      <c r="H705" s="10"/>
    </row>
    <row r="706">
      <c r="E706" s="10"/>
      <c r="F706" s="14"/>
      <c r="G706" s="7"/>
      <c r="H706" s="10"/>
    </row>
    <row r="707">
      <c r="E707" s="10"/>
      <c r="F707" s="14"/>
      <c r="G707" s="7"/>
      <c r="H707" s="10"/>
    </row>
    <row r="708">
      <c r="E708" s="10"/>
      <c r="F708" s="14"/>
      <c r="G708" s="7"/>
      <c r="H708" s="10"/>
    </row>
    <row r="709">
      <c r="E709" s="10"/>
      <c r="F709" s="14"/>
      <c r="G709" s="7"/>
      <c r="H709" s="10"/>
    </row>
    <row r="710">
      <c r="E710" s="10"/>
      <c r="F710" s="14"/>
      <c r="G710" s="7"/>
      <c r="H710" s="10"/>
    </row>
    <row r="711">
      <c r="E711" s="10"/>
      <c r="F711" s="14"/>
      <c r="G711" s="7"/>
      <c r="H711" s="10"/>
    </row>
    <row r="712">
      <c r="E712" s="10"/>
      <c r="F712" s="14"/>
      <c r="G712" s="7"/>
      <c r="H712" s="10"/>
    </row>
    <row r="713">
      <c r="E713" s="10"/>
      <c r="F713" s="14"/>
      <c r="G713" s="7"/>
      <c r="H713" s="10"/>
    </row>
    <row r="714">
      <c r="E714" s="10"/>
      <c r="F714" s="14"/>
      <c r="G714" s="7"/>
      <c r="H714" s="10"/>
    </row>
    <row r="715">
      <c r="E715" s="10"/>
      <c r="F715" s="14"/>
      <c r="G715" s="7"/>
      <c r="H715" s="10"/>
    </row>
    <row r="716">
      <c r="E716" s="10"/>
      <c r="F716" s="14"/>
      <c r="G716" s="7"/>
      <c r="H716" s="10"/>
    </row>
    <row r="717">
      <c r="E717" s="10"/>
      <c r="F717" s="14"/>
      <c r="G717" s="7"/>
      <c r="H717" s="10"/>
    </row>
    <row r="718">
      <c r="E718" s="10"/>
      <c r="F718" s="14"/>
      <c r="G718" s="7"/>
      <c r="H718" s="10"/>
    </row>
    <row r="719">
      <c r="E719" s="10"/>
      <c r="F719" s="14"/>
      <c r="G719" s="7"/>
      <c r="H719" s="10"/>
    </row>
    <row r="720">
      <c r="E720" s="10"/>
      <c r="F720" s="14"/>
      <c r="G720" s="7"/>
      <c r="H720" s="10"/>
    </row>
    <row r="721">
      <c r="E721" s="10"/>
      <c r="F721" s="14"/>
      <c r="G721" s="7"/>
      <c r="H721" s="10"/>
    </row>
    <row r="722">
      <c r="E722" s="10"/>
      <c r="F722" s="14"/>
      <c r="G722" s="7"/>
      <c r="H722" s="10"/>
    </row>
    <row r="723">
      <c r="E723" s="10"/>
      <c r="F723" s="14"/>
      <c r="G723" s="7"/>
      <c r="H723" s="10"/>
    </row>
    <row r="724">
      <c r="E724" s="10"/>
      <c r="F724" s="14"/>
      <c r="G724" s="7"/>
      <c r="H724" s="10"/>
    </row>
    <row r="725">
      <c r="E725" s="10"/>
      <c r="F725" s="14"/>
      <c r="G725" s="7"/>
      <c r="H725" s="10"/>
    </row>
    <row r="726">
      <c r="E726" s="10"/>
      <c r="F726" s="14"/>
      <c r="G726" s="7"/>
      <c r="H726" s="10"/>
    </row>
    <row r="727">
      <c r="E727" s="10"/>
      <c r="F727" s="14"/>
      <c r="G727" s="7"/>
      <c r="H727" s="10"/>
    </row>
    <row r="728">
      <c r="E728" s="10"/>
      <c r="F728" s="14"/>
      <c r="G728" s="7"/>
      <c r="H728" s="10"/>
    </row>
    <row r="729">
      <c r="E729" s="10"/>
      <c r="F729" s="14"/>
      <c r="G729" s="7"/>
      <c r="H729" s="10"/>
    </row>
    <row r="730">
      <c r="E730" s="10"/>
      <c r="F730" s="14"/>
      <c r="G730" s="7"/>
      <c r="H730" s="10"/>
    </row>
    <row r="731">
      <c r="E731" s="10"/>
      <c r="F731" s="14"/>
      <c r="G731" s="7"/>
      <c r="H731" s="10"/>
    </row>
    <row r="732">
      <c r="E732" s="10"/>
      <c r="F732" s="14"/>
      <c r="G732" s="7"/>
      <c r="H732" s="10"/>
    </row>
    <row r="733">
      <c r="E733" s="10"/>
      <c r="F733" s="14"/>
      <c r="G733" s="7"/>
      <c r="H733" s="10"/>
    </row>
    <row r="734">
      <c r="E734" s="10"/>
      <c r="F734" s="14"/>
      <c r="G734" s="7"/>
      <c r="H734" s="10"/>
    </row>
    <row r="735">
      <c r="E735" s="10"/>
      <c r="F735" s="14"/>
      <c r="G735" s="7"/>
      <c r="H735" s="10"/>
    </row>
    <row r="736">
      <c r="E736" s="10"/>
      <c r="F736" s="14"/>
      <c r="G736" s="7"/>
      <c r="H736" s="10"/>
    </row>
    <row r="737">
      <c r="E737" s="10"/>
      <c r="F737" s="14"/>
      <c r="G737" s="7"/>
      <c r="H737" s="10"/>
    </row>
    <row r="738">
      <c r="E738" s="10"/>
      <c r="F738" s="14"/>
      <c r="G738" s="7"/>
      <c r="H738" s="10"/>
    </row>
    <row r="739">
      <c r="E739" s="10"/>
      <c r="F739" s="14"/>
      <c r="G739" s="7"/>
      <c r="H739" s="10"/>
    </row>
    <row r="740">
      <c r="E740" s="10"/>
      <c r="F740" s="14"/>
      <c r="G740" s="7"/>
      <c r="H740" s="10"/>
    </row>
    <row r="741">
      <c r="E741" s="10"/>
      <c r="F741" s="14"/>
      <c r="G741" s="7"/>
      <c r="H741" s="10"/>
    </row>
    <row r="742">
      <c r="E742" s="10"/>
      <c r="F742" s="14"/>
      <c r="G742" s="7"/>
      <c r="H742" s="10"/>
    </row>
    <row r="743">
      <c r="E743" s="10"/>
      <c r="F743" s="14"/>
      <c r="G743" s="7"/>
      <c r="H743" s="10"/>
    </row>
    <row r="744">
      <c r="E744" s="10"/>
      <c r="F744" s="14"/>
      <c r="G744" s="7"/>
      <c r="H744" s="10"/>
    </row>
    <row r="745">
      <c r="E745" s="10"/>
      <c r="F745" s="14"/>
      <c r="G745" s="7"/>
      <c r="H745" s="10"/>
    </row>
    <row r="746">
      <c r="E746" s="10"/>
      <c r="F746" s="14"/>
      <c r="G746" s="7"/>
      <c r="H746" s="10"/>
    </row>
    <row r="747">
      <c r="E747" s="10"/>
      <c r="F747" s="14"/>
      <c r="G747" s="7"/>
      <c r="H747" s="10"/>
    </row>
    <row r="748">
      <c r="E748" s="10"/>
      <c r="F748" s="14"/>
      <c r="G748" s="7"/>
      <c r="H748" s="10"/>
    </row>
    <row r="749">
      <c r="E749" s="10"/>
      <c r="F749" s="14"/>
      <c r="G749" s="7"/>
      <c r="H749" s="10"/>
    </row>
    <row r="750">
      <c r="E750" s="10"/>
      <c r="F750" s="14"/>
      <c r="G750" s="7"/>
      <c r="H750" s="10"/>
    </row>
    <row r="751">
      <c r="E751" s="10"/>
      <c r="F751" s="14"/>
      <c r="G751" s="7"/>
      <c r="H751" s="10"/>
    </row>
    <row r="752">
      <c r="E752" s="10"/>
      <c r="F752" s="14"/>
      <c r="G752" s="7"/>
      <c r="H752" s="10"/>
    </row>
    <row r="753">
      <c r="E753" s="10"/>
      <c r="F753" s="14"/>
      <c r="G753" s="7"/>
      <c r="H753" s="10"/>
    </row>
    <row r="754">
      <c r="E754" s="10"/>
      <c r="F754" s="14"/>
      <c r="G754" s="7"/>
      <c r="H754" s="10"/>
    </row>
    <row r="755">
      <c r="E755" s="10"/>
      <c r="F755" s="14"/>
      <c r="G755" s="7"/>
      <c r="H755" s="10"/>
    </row>
    <row r="756">
      <c r="E756" s="10"/>
      <c r="F756" s="14"/>
      <c r="G756" s="7"/>
      <c r="H756" s="10"/>
    </row>
    <row r="757">
      <c r="E757" s="10"/>
      <c r="F757" s="14"/>
      <c r="G757" s="7"/>
      <c r="H757" s="10"/>
    </row>
    <row r="758">
      <c r="E758" s="10"/>
      <c r="F758" s="14"/>
      <c r="G758" s="7"/>
      <c r="H758" s="10"/>
    </row>
    <row r="759">
      <c r="E759" s="10"/>
      <c r="F759" s="14"/>
      <c r="G759" s="7"/>
      <c r="H759" s="10"/>
    </row>
    <row r="760">
      <c r="E760" s="10"/>
      <c r="F760" s="14"/>
      <c r="G760" s="7"/>
      <c r="H760" s="10"/>
    </row>
    <row r="761">
      <c r="E761" s="10"/>
      <c r="F761" s="14"/>
      <c r="G761" s="7"/>
      <c r="H761" s="10"/>
    </row>
    <row r="762">
      <c r="E762" s="10"/>
      <c r="F762" s="14"/>
      <c r="G762" s="7"/>
      <c r="H762" s="10"/>
    </row>
    <row r="763">
      <c r="E763" s="10"/>
      <c r="F763" s="14"/>
      <c r="G763" s="7"/>
      <c r="H763" s="10"/>
    </row>
    <row r="764">
      <c r="E764" s="10"/>
      <c r="F764" s="14"/>
      <c r="G764" s="7"/>
      <c r="H764" s="10"/>
    </row>
    <row r="765">
      <c r="E765" s="10"/>
      <c r="F765" s="14"/>
      <c r="G765" s="7"/>
      <c r="H765" s="10"/>
    </row>
    <row r="766">
      <c r="E766" s="10"/>
      <c r="F766" s="14"/>
      <c r="G766" s="7"/>
      <c r="H766" s="10"/>
    </row>
    <row r="767">
      <c r="E767" s="10"/>
      <c r="F767" s="14"/>
      <c r="G767" s="7"/>
      <c r="H767" s="10"/>
    </row>
    <row r="768">
      <c r="E768" s="10"/>
      <c r="F768" s="14"/>
      <c r="G768" s="7"/>
      <c r="H768" s="10"/>
    </row>
    <row r="769">
      <c r="E769" s="10"/>
      <c r="F769" s="14"/>
      <c r="G769" s="7"/>
      <c r="H769" s="10"/>
    </row>
    <row r="770">
      <c r="E770" s="10"/>
      <c r="F770" s="14"/>
      <c r="G770" s="7"/>
      <c r="H770" s="10"/>
    </row>
    <row r="771">
      <c r="E771" s="10"/>
      <c r="F771" s="14"/>
      <c r="G771" s="7"/>
      <c r="H771" s="10"/>
    </row>
    <row r="772">
      <c r="E772" s="10"/>
      <c r="F772" s="14"/>
      <c r="G772" s="7"/>
      <c r="H772" s="10"/>
    </row>
    <row r="773">
      <c r="E773" s="10"/>
      <c r="F773" s="14"/>
      <c r="G773" s="7"/>
      <c r="H773" s="10"/>
    </row>
    <row r="774">
      <c r="E774" s="10"/>
      <c r="F774" s="14"/>
      <c r="G774" s="7"/>
      <c r="H774" s="10"/>
    </row>
    <row r="775">
      <c r="E775" s="10"/>
      <c r="F775" s="14"/>
      <c r="G775" s="7"/>
      <c r="H775" s="10"/>
    </row>
    <row r="776">
      <c r="E776" s="10"/>
      <c r="F776" s="14"/>
      <c r="G776" s="7"/>
      <c r="H776" s="10"/>
    </row>
    <row r="777">
      <c r="E777" s="10"/>
      <c r="F777" s="14"/>
      <c r="G777" s="7"/>
      <c r="H777" s="10"/>
    </row>
    <row r="778">
      <c r="E778" s="10"/>
      <c r="F778" s="14"/>
      <c r="G778" s="7"/>
      <c r="H778" s="10"/>
    </row>
    <row r="779">
      <c r="E779" s="10"/>
      <c r="F779" s="14"/>
      <c r="G779" s="7"/>
      <c r="H779" s="10"/>
    </row>
    <row r="780">
      <c r="E780" s="10"/>
      <c r="F780" s="14"/>
      <c r="G780" s="7"/>
      <c r="H780" s="10"/>
    </row>
    <row r="781">
      <c r="E781" s="10"/>
      <c r="F781" s="14"/>
      <c r="G781" s="7"/>
      <c r="H781" s="10"/>
    </row>
    <row r="782">
      <c r="E782" s="10"/>
      <c r="F782" s="14"/>
      <c r="G782" s="7"/>
      <c r="H782" s="10"/>
    </row>
    <row r="783">
      <c r="E783" s="10"/>
      <c r="F783" s="14"/>
      <c r="G783" s="7"/>
      <c r="H783" s="10"/>
    </row>
    <row r="784">
      <c r="E784" s="10"/>
      <c r="F784" s="14"/>
      <c r="G784" s="7"/>
      <c r="H784" s="10"/>
    </row>
    <row r="785">
      <c r="E785" s="10"/>
      <c r="F785" s="14"/>
      <c r="G785" s="7"/>
      <c r="H785" s="10"/>
    </row>
    <row r="786">
      <c r="E786" s="10"/>
      <c r="F786" s="14"/>
      <c r="G786" s="7"/>
      <c r="H786" s="10"/>
    </row>
    <row r="787">
      <c r="E787" s="10"/>
      <c r="F787" s="14"/>
      <c r="G787" s="7"/>
      <c r="H787" s="10"/>
    </row>
    <row r="788">
      <c r="E788" s="10"/>
      <c r="F788" s="14"/>
      <c r="G788" s="7"/>
      <c r="H788" s="10"/>
    </row>
    <row r="789">
      <c r="E789" s="10"/>
      <c r="F789" s="14"/>
      <c r="G789" s="7"/>
      <c r="H789" s="10"/>
    </row>
    <row r="790">
      <c r="E790" s="10"/>
      <c r="F790" s="14"/>
      <c r="G790" s="7"/>
      <c r="H790" s="10"/>
    </row>
    <row r="791">
      <c r="E791" s="10"/>
      <c r="F791" s="14"/>
      <c r="G791" s="7"/>
      <c r="H791" s="10"/>
    </row>
    <row r="792">
      <c r="E792" s="10"/>
      <c r="F792" s="14"/>
      <c r="G792" s="7"/>
      <c r="H792" s="10"/>
    </row>
    <row r="793">
      <c r="E793" s="10"/>
      <c r="F793" s="14"/>
      <c r="G793" s="7"/>
      <c r="H793" s="10"/>
    </row>
    <row r="794">
      <c r="E794" s="10"/>
      <c r="F794" s="14"/>
      <c r="G794" s="7"/>
      <c r="H794" s="10"/>
    </row>
    <row r="795">
      <c r="E795" s="10"/>
      <c r="F795" s="14"/>
      <c r="G795" s="7"/>
      <c r="H795" s="10"/>
    </row>
    <row r="796">
      <c r="E796" s="10"/>
      <c r="F796" s="14"/>
      <c r="G796" s="7"/>
      <c r="H796" s="10"/>
    </row>
    <row r="797">
      <c r="E797" s="10"/>
      <c r="F797" s="14"/>
      <c r="G797" s="7"/>
      <c r="H797" s="10"/>
    </row>
    <row r="798">
      <c r="E798" s="10"/>
      <c r="F798" s="14"/>
      <c r="G798" s="7"/>
      <c r="H798" s="10"/>
    </row>
    <row r="799">
      <c r="E799" s="10"/>
      <c r="F799" s="14"/>
      <c r="G799" s="7"/>
      <c r="H799" s="10"/>
    </row>
    <row r="800">
      <c r="E800" s="10"/>
      <c r="F800" s="14"/>
      <c r="G800" s="7"/>
      <c r="H800" s="10"/>
    </row>
    <row r="801">
      <c r="E801" s="10"/>
      <c r="F801" s="14"/>
      <c r="G801" s="7"/>
      <c r="H801" s="10"/>
    </row>
    <row r="802">
      <c r="E802" s="10"/>
      <c r="F802" s="14"/>
      <c r="G802" s="7"/>
      <c r="H802" s="10"/>
    </row>
    <row r="803">
      <c r="E803" s="10"/>
      <c r="F803" s="14"/>
      <c r="G803" s="7"/>
      <c r="H803" s="10"/>
    </row>
    <row r="804">
      <c r="E804" s="10"/>
      <c r="F804" s="14"/>
      <c r="G804" s="7"/>
      <c r="H804" s="10"/>
    </row>
    <row r="805">
      <c r="E805" s="10"/>
      <c r="F805" s="14"/>
      <c r="G805" s="7"/>
      <c r="H805" s="10"/>
    </row>
    <row r="806">
      <c r="E806" s="10"/>
      <c r="F806" s="14"/>
      <c r="G806" s="7"/>
      <c r="H806" s="10"/>
    </row>
    <row r="807">
      <c r="E807" s="10"/>
      <c r="F807" s="14"/>
      <c r="G807" s="7"/>
      <c r="H807" s="10"/>
    </row>
    <row r="808">
      <c r="E808" s="10"/>
      <c r="F808" s="14"/>
      <c r="G808" s="7"/>
      <c r="H808" s="10"/>
    </row>
    <row r="809">
      <c r="E809" s="10"/>
      <c r="F809" s="14"/>
      <c r="G809" s="7"/>
      <c r="H809" s="10"/>
    </row>
    <row r="810">
      <c r="E810" s="10"/>
      <c r="F810" s="14"/>
      <c r="G810" s="7"/>
      <c r="H810" s="10"/>
    </row>
    <row r="811">
      <c r="E811" s="10"/>
      <c r="F811" s="14"/>
      <c r="G811" s="7"/>
      <c r="H811" s="10"/>
    </row>
    <row r="812">
      <c r="E812" s="10"/>
      <c r="F812" s="14"/>
      <c r="G812" s="7"/>
      <c r="H812" s="10"/>
    </row>
    <row r="813">
      <c r="E813" s="10"/>
      <c r="F813" s="14"/>
      <c r="G813" s="7"/>
      <c r="H813" s="10"/>
    </row>
    <row r="814">
      <c r="E814" s="10"/>
      <c r="F814" s="14"/>
      <c r="G814" s="7"/>
      <c r="H814" s="10"/>
    </row>
    <row r="815">
      <c r="E815" s="10"/>
      <c r="F815" s="14"/>
      <c r="G815" s="7"/>
      <c r="H815" s="10"/>
    </row>
    <row r="816">
      <c r="E816" s="10"/>
      <c r="F816" s="14"/>
      <c r="G816" s="7"/>
      <c r="H816" s="10"/>
    </row>
    <row r="817">
      <c r="E817" s="10"/>
      <c r="F817" s="14"/>
      <c r="G817" s="7"/>
      <c r="H817" s="10"/>
    </row>
    <row r="818">
      <c r="E818" s="10"/>
      <c r="F818" s="14"/>
      <c r="G818" s="7"/>
      <c r="H818" s="10"/>
    </row>
    <row r="819">
      <c r="E819" s="10"/>
      <c r="F819" s="14"/>
      <c r="G819" s="7"/>
      <c r="H819" s="10"/>
    </row>
    <row r="820">
      <c r="E820" s="10"/>
      <c r="F820" s="14"/>
      <c r="G820" s="7"/>
      <c r="H820" s="10"/>
    </row>
    <row r="821">
      <c r="E821" s="10"/>
      <c r="F821" s="14"/>
      <c r="G821" s="7"/>
      <c r="H821" s="10"/>
    </row>
    <row r="822">
      <c r="E822" s="10"/>
      <c r="F822" s="14"/>
      <c r="G822" s="7"/>
      <c r="H822" s="10"/>
    </row>
    <row r="823">
      <c r="E823" s="10"/>
      <c r="F823" s="14"/>
      <c r="G823" s="7"/>
      <c r="H823" s="10"/>
    </row>
    <row r="824">
      <c r="E824" s="10"/>
      <c r="F824" s="14"/>
      <c r="G824" s="7"/>
      <c r="H824" s="10"/>
    </row>
    <row r="825">
      <c r="E825" s="10"/>
      <c r="F825" s="14"/>
      <c r="G825" s="7"/>
      <c r="H825" s="10"/>
    </row>
    <row r="826">
      <c r="E826" s="10"/>
      <c r="F826" s="14"/>
      <c r="G826" s="7"/>
      <c r="H826" s="10"/>
    </row>
    <row r="827">
      <c r="E827" s="10"/>
      <c r="F827" s="14"/>
      <c r="G827" s="7"/>
      <c r="H827" s="10"/>
    </row>
    <row r="828">
      <c r="E828" s="10"/>
      <c r="F828" s="14"/>
      <c r="G828" s="7"/>
      <c r="H828" s="10"/>
    </row>
    <row r="829">
      <c r="E829" s="10"/>
      <c r="F829" s="14"/>
      <c r="G829" s="7"/>
      <c r="H829" s="10"/>
    </row>
    <row r="830">
      <c r="E830" s="10"/>
      <c r="F830" s="14"/>
      <c r="G830" s="7"/>
      <c r="H830" s="10"/>
    </row>
    <row r="831">
      <c r="E831" s="10"/>
      <c r="F831" s="14"/>
      <c r="G831" s="7"/>
      <c r="H831" s="10"/>
    </row>
    <row r="832">
      <c r="E832" s="10"/>
      <c r="F832" s="14"/>
      <c r="G832" s="7"/>
      <c r="H832" s="10"/>
    </row>
    <row r="833">
      <c r="E833" s="10"/>
      <c r="F833" s="14"/>
      <c r="G833" s="7"/>
      <c r="H833" s="10"/>
    </row>
    <row r="834">
      <c r="E834" s="10"/>
      <c r="F834" s="14"/>
      <c r="G834" s="7"/>
      <c r="H834" s="10"/>
    </row>
    <row r="835">
      <c r="E835" s="10"/>
      <c r="F835" s="14"/>
      <c r="G835" s="7"/>
      <c r="H835" s="10"/>
    </row>
    <row r="836">
      <c r="E836" s="10"/>
      <c r="F836" s="14"/>
      <c r="G836" s="7"/>
      <c r="H836" s="10"/>
    </row>
    <row r="837">
      <c r="E837" s="10"/>
      <c r="F837" s="14"/>
      <c r="G837" s="7"/>
      <c r="H837" s="10"/>
    </row>
    <row r="838">
      <c r="E838" s="10"/>
      <c r="F838" s="14"/>
      <c r="G838" s="7"/>
      <c r="H838" s="10"/>
    </row>
    <row r="839">
      <c r="E839" s="10"/>
      <c r="F839" s="14"/>
      <c r="G839" s="7"/>
      <c r="H839" s="10"/>
    </row>
    <row r="840">
      <c r="E840" s="10"/>
      <c r="F840" s="14"/>
      <c r="G840" s="7"/>
      <c r="H840" s="10"/>
    </row>
    <row r="841">
      <c r="E841" s="10"/>
      <c r="F841" s="14"/>
      <c r="G841" s="7"/>
      <c r="H841" s="10"/>
    </row>
    <row r="842">
      <c r="E842" s="10"/>
      <c r="F842" s="14"/>
      <c r="G842" s="7"/>
      <c r="H842" s="10"/>
    </row>
    <row r="843">
      <c r="E843" s="10"/>
      <c r="F843" s="14"/>
      <c r="G843" s="7"/>
      <c r="H843" s="10"/>
    </row>
    <row r="844">
      <c r="E844" s="10"/>
      <c r="F844" s="14"/>
      <c r="G844" s="7"/>
      <c r="H844" s="10"/>
    </row>
    <row r="845">
      <c r="E845" s="10"/>
      <c r="F845" s="14"/>
      <c r="G845" s="7"/>
      <c r="H845" s="10"/>
    </row>
    <row r="846">
      <c r="E846" s="10"/>
      <c r="F846" s="14"/>
      <c r="G846" s="7"/>
      <c r="H846" s="10"/>
    </row>
    <row r="847">
      <c r="E847" s="10"/>
      <c r="F847" s="14"/>
      <c r="G847" s="7"/>
      <c r="H847" s="10"/>
    </row>
    <row r="848">
      <c r="E848" s="10"/>
      <c r="F848" s="14"/>
      <c r="G848" s="7"/>
      <c r="H848" s="10"/>
    </row>
    <row r="849">
      <c r="E849" s="10"/>
      <c r="F849" s="14"/>
      <c r="G849" s="7"/>
      <c r="H849" s="10"/>
    </row>
    <row r="850">
      <c r="E850" s="10"/>
      <c r="F850" s="14"/>
      <c r="G850" s="7"/>
      <c r="H850" s="10"/>
    </row>
    <row r="851">
      <c r="E851" s="10"/>
      <c r="F851" s="14"/>
      <c r="G851" s="7"/>
      <c r="H851" s="10"/>
    </row>
    <row r="852">
      <c r="E852" s="10"/>
      <c r="F852" s="14"/>
      <c r="G852" s="7"/>
      <c r="H852" s="10"/>
    </row>
    <row r="853">
      <c r="E853" s="10"/>
      <c r="F853" s="14"/>
      <c r="G853" s="7"/>
      <c r="H853" s="10"/>
    </row>
    <row r="854">
      <c r="E854" s="10"/>
      <c r="F854" s="14"/>
      <c r="G854" s="7"/>
      <c r="H854" s="10"/>
    </row>
    <row r="855">
      <c r="E855" s="10"/>
      <c r="F855" s="14"/>
      <c r="G855" s="7"/>
      <c r="H855" s="10"/>
    </row>
    <row r="856">
      <c r="E856" s="10"/>
      <c r="F856" s="14"/>
      <c r="G856" s="7"/>
      <c r="H856" s="10"/>
    </row>
    <row r="857">
      <c r="E857" s="10"/>
      <c r="F857" s="14"/>
      <c r="G857" s="7"/>
      <c r="H857" s="10"/>
    </row>
    <row r="858">
      <c r="E858" s="10"/>
      <c r="F858" s="14"/>
      <c r="G858" s="7"/>
      <c r="H858" s="10"/>
    </row>
    <row r="859">
      <c r="E859" s="10"/>
      <c r="F859" s="14"/>
      <c r="G859" s="7"/>
      <c r="H859" s="10"/>
    </row>
    <row r="860">
      <c r="E860" s="10"/>
      <c r="F860" s="14"/>
      <c r="G860" s="7"/>
      <c r="H860" s="10"/>
    </row>
    <row r="861">
      <c r="E861" s="10"/>
      <c r="F861" s="14"/>
      <c r="G861" s="7"/>
      <c r="H861" s="10"/>
    </row>
    <row r="862">
      <c r="E862" s="10"/>
      <c r="F862" s="14"/>
      <c r="G862" s="7"/>
      <c r="H862" s="10"/>
    </row>
    <row r="863">
      <c r="E863" s="10"/>
      <c r="F863" s="14"/>
      <c r="G863" s="7"/>
      <c r="H863" s="10"/>
    </row>
    <row r="864">
      <c r="E864" s="10"/>
      <c r="F864" s="14"/>
      <c r="G864" s="7"/>
      <c r="H864" s="10"/>
    </row>
    <row r="865">
      <c r="E865" s="10"/>
      <c r="F865" s="14"/>
      <c r="G865" s="7"/>
      <c r="H865" s="10"/>
    </row>
    <row r="866">
      <c r="E866" s="10"/>
      <c r="F866" s="14"/>
      <c r="G866" s="7"/>
      <c r="H866" s="10"/>
    </row>
    <row r="867">
      <c r="E867" s="10"/>
      <c r="F867" s="14"/>
      <c r="G867" s="7"/>
      <c r="H867" s="10"/>
    </row>
    <row r="868">
      <c r="E868" s="10"/>
      <c r="F868" s="14"/>
      <c r="G868" s="7"/>
      <c r="H868" s="10"/>
    </row>
    <row r="869">
      <c r="E869" s="10"/>
      <c r="F869" s="14"/>
      <c r="G869" s="7"/>
      <c r="H869" s="10"/>
    </row>
    <row r="870">
      <c r="E870" s="10"/>
      <c r="F870" s="14"/>
      <c r="G870" s="7"/>
      <c r="H870" s="10"/>
    </row>
    <row r="871">
      <c r="E871" s="10"/>
      <c r="F871" s="14"/>
      <c r="G871" s="7"/>
      <c r="H871" s="10"/>
    </row>
    <row r="872">
      <c r="E872" s="10"/>
      <c r="F872" s="14"/>
      <c r="G872" s="7"/>
      <c r="H872" s="10"/>
    </row>
    <row r="873">
      <c r="E873" s="10"/>
      <c r="F873" s="14"/>
      <c r="G873" s="7"/>
      <c r="H873" s="10"/>
    </row>
    <row r="874">
      <c r="E874" s="10"/>
      <c r="F874" s="14"/>
      <c r="G874" s="7"/>
      <c r="H874" s="10"/>
    </row>
    <row r="875">
      <c r="E875" s="10"/>
      <c r="F875" s="14"/>
      <c r="G875" s="7"/>
      <c r="H875" s="10"/>
    </row>
    <row r="876">
      <c r="E876" s="10"/>
      <c r="F876" s="14"/>
      <c r="G876" s="7"/>
      <c r="H876" s="10"/>
    </row>
    <row r="877">
      <c r="E877" s="10"/>
      <c r="F877" s="14"/>
      <c r="G877" s="7"/>
      <c r="H877" s="10"/>
    </row>
    <row r="878">
      <c r="E878" s="10"/>
      <c r="F878" s="14"/>
      <c r="G878" s="7"/>
      <c r="H878" s="10"/>
    </row>
    <row r="879">
      <c r="E879" s="10"/>
      <c r="F879" s="14"/>
      <c r="G879" s="7"/>
      <c r="H879" s="10"/>
    </row>
    <row r="880">
      <c r="E880" s="10"/>
      <c r="F880" s="14"/>
      <c r="G880" s="7"/>
      <c r="H880" s="10"/>
    </row>
    <row r="881">
      <c r="E881" s="10"/>
      <c r="F881" s="14"/>
      <c r="G881" s="7"/>
      <c r="H881" s="10"/>
    </row>
    <row r="882">
      <c r="E882" s="10"/>
      <c r="F882" s="14"/>
      <c r="G882" s="7"/>
      <c r="H882" s="10"/>
    </row>
    <row r="883">
      <c r="E883" s="10"/>
      <c r="F883" s="14"/>
      <c r="G883" s="7"/>
      <c r="H883" s="10"/>
    </row>
    <row r="884">
      <c r="E884" s="10"/>
      <c r="F884" s="14"/>
      <c r="G884" s="7"/>
      <c r="H884" s="10"/>
    </row>
    <row r="885">
      <c r="E885" s="10"/>
      <c r="F885" s="14"/>
      <c r="G885" s="7"/>
      <c r="H885" s="10"/>
    </row>
    <row r="886">
      <c r="E886" s="10"/>
      <c r="F886" s="14"/>
      <c r="G886" s="7"/>
      <c r="H886" s="10"/>
    </row>
    <row r="887">
      <c r="E887" s="10"/>
      <c r="F887" s="14"/>
      <c r="G887" s="7"/>
      <c r="H887" s="10"/>
    </row>
    <row r="888">
      <c r="E888" s="10"/>
      <c r="F888" s="14"/>
      <c r="G888" s="7"/>
      <c r="H888" s="10"/>
    </row>
    <row r="889">
      <c r="E889" s="10"/>
      <c r="F889" s="14"/>
      <c r="G889" s="7"/>
      <c r="H889" s="10"/>
    </row>
    <row r="890">
      <c r="E890" s="10"/>
      <c r="F890" s="14"/>
      <c r="G890" s="7"/>
      <c r="H890" s="10"/>
    </row>
    <row r="891">
      <c r="E891" s="10"/>
      <c r="F891" s="14"/>
      <c r="G891" s="7"/>
      <c r="H891" s="10"/>
    </row>
    <row r="892">
      <c r="E892" s="10"/>
      <c r="F892" s="14"/>
      <c r="G892" s="7"/>
      <c r="H892" s="10"/>
    </row>
    <row r="893">
      <c r="E893" s="10"/>
      <c r="F893" s="14"/>
      <c r="G893" s="7"/>
      <c r="H893" s="10"/>
    </row>
    <row r="894">
      <c r="E894" s="10"/>
      <c r="F894" s="14"/>
      <c r="G894" s="7"/>
      <c r="H894" s="10"/>
    </row>
    <row r="895">
      <c r="E895" s="10"/>
      <c r="F895" s="14"/>
      <c r="G895" s="7"/>
      <c r="H895" s="10"/>
    </row>
    <row r="896">
      <c r="E896" s="10"/>
      <c r="F896" s="14"/>
      <c r="G896" s="7"/>
      <c r="H896" s="10"/>
    </row>
    <row r="897">
      <c r="E897" s="10"/>
      <c r="F897" s="14"/>
      <c r="G897" s="7"/>
      <c r="H897" s="10"/>
    </row>
    <row r="898">
      <c r="E898" s="10"/>
      <c r="F898" s="14"/>
      <c r="G898" s="7"/>
      <c r="H898" s="10"/>
    </row>
    <row r="899">
      <c r="E899" s="10"/>
      <c r="F899" s="14"/>
      <c r="G899" s="7"/>
      <c r="H899" s="10"/>
    </row>
    <row r="900">
      <c r="E900" s="10"/>
      <c r="F900" s="14"/>
      <c r="G900" s="7"/>
      <c r="H900" s="10"/>
    </row>
    <row r="901">
      <c r="E901" s="10"/>
      <c r="F901" s="14"/>
      <c r="G901" s="7"/>
      <c r="H901" s="10"/>
    </row>
    <row r="902">
      <c r="E902" s="10"/>
      <c r="F902" s="14"/>
      <c r="G902" s="7"/>
      <c r="H902" s="10"/>
    </row>
    <row r="903">
      <c r="E903" s="10"/>
      <c r="F903" s="14"/>
      <c r="G903" s="7"/>
      <c r="H903" s="10"/>
    </row>
    <row r="904">
      <c r="E904" s="10"/>
      <c r="F904" s="14"/>
      <c r="G904" s="7"/>
      <c r="H904" s="10"/>
    </row>
    <row r="905">
      <c r="E905" s="10"/>
      <c r="F905" s="14"/>
      <c r="G905" s="7"/>
      <c r="H905" s="10"/>
    </row>
    <row r="906">
      <c r="E906" s="10"/>
      <c r="F906" s="14"/>
      <c r="G906" s="7"/>
      <c r="H906" s="10"/>
    </row>
    <row r="907">
      <c r="E907" s="10"/>
      <c r="F907" s="14"/>
      <c r="G907" s="7"/>
      <c r="H907" s="10"/>
    </row>
    <row r="908">
      <c r="E908" s="10"/>
      <c r="F908" s="14"/>
      <c r="G908" s="7"/>
      <c r="H908" s="10"/>
    </row>
    <row r="909">
      <c r="E909" s="10"/>
      <c r="F909" s="14"/>
      <c r="G909" s="7"/>
      <c r="H909" s="10"/>
    </row>
    <row r="910">
      <c r="E910" s="10"/>
      <c r="F910" s="14"/>
      <c r="G910" s="7"/>
      <c r="H910" s="10"/>
    </row>
    <row r="911">
      <c r="E911" s="10"/>
      <c r="F911" s="14"/>
      <c r="G911" s="7"/>
      <c r="H911" s="10"/>
    </row>
    <row r="912">
      <c r="E912" s="10"/>
      <c r="F912" s="14"/>
      <c r="G912" s="7"/>
      <c r="H912" s="10"/>
    </row>
    <row r="913">
      <c r="E913" s="10"/>
      <c r="F913" s="14"/>
      <c r="G913" s="7"/>
      <c r="H913" s="10"/>
    </row>
    <row r="914">
      <c r="E914" s="10"/>
      <c r="F914" s="14"/>
      <c r="G914" s="7"/>
      <c r="H914" s="10"/>
    </row>
    <row r="915">
      <c r="E915" s="10"/>
      <c r="F915" s="14"/>
      <c r="G915" s="7"/>
      <c r="H915" s="10"/>
    </row>
    <row r="916">
      <c r="E916" s="10"/>
      <c r="F916" s="14"/>
      <c r="G916" s="7"/>
      <c r="H916" s="10"/>
    </row>
    <row r="917">
      <c r="E917" s="10"/>
      <c r="F917" s="14"/>
      <c r="G917" s="7"/>
      <c r="H917" s="10"/>
    </row>
    <row r="918">
      <c r="E918" s="10"/>
      <c r="F918" s="14"/>
      <c r="G918" s="7"/>
      <c r="H918" s="10"/>
    </row>
    <row r="919">
      <c r="E919" s="10"/>
      <c r="F919" s="14"/>
      <c r="G919" s="7"/>
      <c r="H919" s="10"/>
    </row>
    <row r="920">
      <c r="E920" s="10"/>
      <c r="F920" s="14"/>
      <c r="G920" s="7"/>
      <c r="H920" s="10"/>
    </row>
    <row r="921">
      <c r="E921" s="10"/>
      <c r="F921" s="14"/>
      <c r="G921" s="7"/>
      <c r="H921" s="10"/>
    </row>
    <row r="922">
      <c r="E922" s="10"/>
      <c r="F922" s="14"/>
      <c r="G922" s="7"/>
      <c r="H922" s="10"/>
    </row>
    <row r="923">
      <c r="E923" s="10"/>
      <c r="F923" s="14"/>
      <c r="G923" s="7"/>
      <c r="H923" s="10"/>
    </row>
    <row r="924">
      <c r="E924" s="10"/>
      <c r="F924" s="14"/>
      <c r="G924" s="7"/>
      <c r="H924" s="10"/>
    </row>
    <row r="925">
      <c r="E925" s="10"/>
      <c r="F925" s="14"/>
      <c r="G925" s="7"/>
      <c r="H925" s="10"/>
    </row>
    <row r="926">
      <c r="E926" s="10"/>
      <c r="F926" s="14"/>
      <c r="G926" s="7"/>
      <c r="H926" s="10"/>
    </row>
    <row r="927">
      <c r="E927" s="10"/>
      <c r="F927" s="14"/>
      <c r="G927" s="7"/>
      <c r="H927" s="10"/>
    </row>
    <row r="928">
      <c r="E928" s="10"/>
      <c r="F928" s="14"/>
      <c r="G928" s="7"/>
      <c r="H928" s="10"/>
    </row>
    <row r="929">
      <c r="E929" s="10"/>
      <c r="F929" s="14"/>
      <c r="G929" s="7"/>
      <c r="H929" s="10"/>
    </row>
    <row r="930">
      <c r="E930" s="10"/>
      <c r="F930" s="14"/>
      <c r="G930" s="7"/>
      <c r="H930" s="10"/>
    </row>
    <row r="931">
      <c r="E931" s="10"/>
      <c r="F931" s="14"/>
      <c r="G931" s="7"/>
      <c r="H931" s="10"/>
    </row>
    <row r="932">
      <c r="E932" s="10"/>
      <c r="F932" s="14"/>
      <c r="G932" s="7"/>
      <c r="H932" s="10"/>
    </row>
    <row r="933">
      <c r="E933" s="10"/>
      <c r="F933" s="14"/>
      <c r="G933" s="7"/>
      <c r="H933" s="10"/>
    </row>
    <row r="934">
      <c r="E934" s="10"/>
      <c r="F934" s="14"/>
      <c r="G934" s="7"/>
      <c r="H934" s="10"/>
    </row>
    <row r="935">
      <c r="E935" s="10"/>
      <c r="F935" s="14"/>
      <c r="G935" s="7"/>
      <c r="H935" s="10"/>
    </row>
    <row r="936">
      <c r="E936" s="10"/>
      <c r="F936" s="14"/>
      <c r="G936" s="7"/>
      <c r="H936" s="10"/>
    </row>
    <row r="937">
      <c r="E937" s="10"/>
      <c r="F937" s="14"/>
      <c r="G937" s="7"/>
      <c r="H937" s="10"/>
    </row>
    <row r="938">
      <c r="E938" s="10"/>
      <c r="F938" s="14"/>
      <c r="G938" s="7"/>
      <c r="H938" s="10"/>
    </row>
    <row r="939">
      <c r="E939" s="10"/>
      <c r="F939" s="14"/>
      <c r="G939" s="7"/>
      <c r="H939" s="10"/>
    </row>
    <row r="940">
      <c r="E940" s="10"/>
      <c r="F940" s="14"/>
      <c r="G940" s="7"/>
      <c r="H940" s="10"/>
    </row>
    <row r="941">
      <c r="E941" s="10"/>
      <c r="F941" s="14"/>
      <c r="G941" s="7"/>
      <c r="H941" s="10"/>
    </row>
    <row r="942">
      <c r="E942" s="10"/>
      <c r="F942" s="14"/>
      <c r="G942" s="7"/>
      <c r="H942" s="10"/>
    </row>
    <row r="943">
      <c r="E943" s="10"/>
      <c r="F943" s="14"/>
      <c r="G943" s="7"/>
      <c r="H943" s="10"/>
    </row>
    <row r="944">
      <c r="E944" s="10"/>
      <c r="F944" s="14"/>
      <c r="G944" s="7"/>
      <c r="H944" s="10"/>
    </row>
    <row r="945">
      <c r="E945" s="10"/>
      <c r="F945" s="14"/>
      <c r="G945" s="7"/>
      <c r="H945" s="10"/>
    </row>
    <row r="946">
      <c r="E946" s="10"/>
      <c r="F946" s="14"/>
      <c r="G946" s="7"/>
      <c r="H946" s="10"/>
    </row>
    <row r="947">
      <c r="E947" s="10"/>
      <c r="F947" s="14"/>
      <c r="G947" s="7"/>
      <c r="H947" s="10"/>
    </row>
    <row r="948">
      <c r="E948" s="10"/>
      <c r="F948" s="14"/>
      <c r="G948" s="7"/>
      <c r="H948" s="10"/>
    </row>
    <row r="949">
      <c r="E949" s="10"/>
      <c r="F949" s="14"/>
      <c r="G949" s="7"/>
      <c r="H949" s="10"/>
    </row>
    <row r="950">
      <c r="E950" s="10"/>
      <c r="F950" s="14"/>
      <c r="G950" s="7"/>
      <c r="H950" s="10"/>
    </row>
    <row r="951">
      <c r="E951" s="10"/>
      <c r="F951" s="14"/>
      <c r="G951" s="7"/>
      <c r="H951" s="10"/>
    </row>
    <row r="952">
      <c r="E952" s="10"/>
      <c r="F952" s="14"/>
      <c r="G952" s="7"/>
      <c r="H952" s="10"/>
    </row>
    <row r="953">
      <c r="E953" s="10"/>
      <c r="F953" s="14"/>
      <c r="G953" s="7"/>
      <c r="H953" s="10"/>
    </row>
    <row r="954">
      <c r="E954" s="10"/>
      <c r="F954" s="14"/>
      <c r="G954" s="7"/>
      <c r="H954" s="10"/>
    </row>
    <row r="955">
      <c r="E955" s="10"/>
      <c r="F955" s="14"/>
      <c r="G955" s="7"/>
      <c r="H955" s="10"/>
    </row>
    <row r="956">
      <c r="E956" s="10"/>
      <c r="F956" s="14"/>
      <c r="G956" s="7"/>
      <c r="H956" s="10"/>
    </row>
    <row r="957">
      <c r="E957" s="10"/>
      <c r="F957" s="14"/>
      <c r="G957" s="7"/>
      <c r="H957" s="10"/>
    </row>
    <row r="958">
      <c r="E958" s="10"/>
      <c r="F958" s="14"/>
      <c r="G958" s="7"/>
      <c r="H958" s="10"/>
    </row>
    <row r="959">
      <c r="E959" s="10"/>
      <c r="F959" s="14"/>
      <c r="G959" s="7"/>
      <c r="H959" s="10"/>
    </row>
    <row r="960">
      <c r="E960" s="10"/>
      <c r="F960" s="14"/>
      <c r="G960" s="7"/>
      <c r="H960" s="10"/>
    </row>
    <row r="961">
      <c r="E961" s="10"/>
      <c r="F961" s="14"/>
      <c r="G961" s="7"/>
      <c r="H961" s="10"/>
    </row>
    <row r="962">
      <c r="E962" s="10"/>
      <c r="F962" s="14"/>
      <c r="G962" s="7"/>
      <c r="H962" s="10"/>
    </row>
    <row r="963">
      <c r="E963" s="10"/>
      <c r="F963" s="14"/>
      <c r="G963" s="7"/>
      <c r="H963" s="10"/>
    </row>
    <row r="964">
      <c r="E964" s="10"/>
      <c r="F964" s="14"/>
      <c r="G964" s="7"/>
      <c r="H964" s="10"/>
    </row>
    <row r="965">
      <c r="E965" s="10"/>
      <c r="F965" s="14"/>
      <c r="G965" s="7"/>
      <c r="H965" s="10"/>
    </row>
    <row r="966">
      <c r="E966" s="10"/>
      <c r="F966" s="14"/>
      <c r="G966" s="7"/>
      <c r="H966" s="10"/>
    </row>
    <row r="967">
      <c r="E967" s="10"/>
      <c r="F967" s="14"/>
      <c r="G967" s="7"/>
      <c r="H967" s="10"/>
    </row>
    <row r="968">
      <c r="E968" s="10"/>
      <c r="F968" s="14"/>
      <c r="G968" s="7"/>
      <c r="H968" s="10"/>
    </row>
    <row r="969">
      <c r="E969" s="10"/>
      <c r="F969" s="14"/>
      <c r="G969" s="7"/>
      <c r="H969" s="10"/>
    </row>
    <row r="970">
      <c r="E970" s="10"/>
      <c r="F970" s="14"/>
      <c r="G970" s="7"/>
      <c r="H970" s="10"/>
    </row>
    <row r="971">
      <c r="E971" s="10"/>
      <c r="F971" s="14"/>
      <c r="G971" s="7"/>
      <c r="H971" s="10"/>
    </row>
    <row r="972">
      <c r="E972" s="10"/>
      <c r="F972" s="14"/>
      <c r="G972" s="7"/>
      <c r="H972" s="10"/>
    </row>
    <row r="973">
      <c r="E973" s="10"/>
      <c r="F973" s="14"/>
      <c r="G973" s="7"/>
      <c r="H973" s="10"/>
    </row>
    <row r="974">
      <c r="E974" s="10"/>
      <c r="F974" s="14"/>
      <c r="G974" s="7"/>
      <c r="H974" s="10"/>
    </row>
    <row r="975">
      <c r="E975" s="10"/>
      <c r="F975" s="14"/>
      <c r="G975" s="7"/>
      <c r="H975" s="10"/>
    </row>
    <row r="976">
      <c r="E976" s="10"/>
      <c r="F976" s="14"/>
      <c r="G976" s="7"/>
      <c r="H976" s="10"/>
    </row>
    <row r="977">
      <c r="E977" s="10"/>
      <c r="F977" s="14"/>
      <c r="G977" s="7"/>
      <c r="H977" s="10"/>
    </row>
    <row r="978">
      <c r="E978" s="10"/>
      <c r="F978" s="14"/>
      <c r="G978" s="7"/>
      <c r="H978" s="10"/>
    </row>
    <row r="979">
      <c r="E979" s="10"/>
      <c r="F979" s="14"/>
      <c r="G979" s="7"/>
      <c r="H979" s="10"/>
    </row>
    <row r="980">
      <c r="E980" s="10"/>
      <c r="F980" s="14"/>
      <c r="G980" s="7"/>
      <c r="H980" s="10"/>
    </row>
    <row r="981">
      <c r="E981" s="10"/>
      <c r="F981" s="14"/>
      <c r="G981" s="7"/>
      <c r="H981" s="10"/>
    </row>
    <row r="982">
      <c r="E982" s="10"/>
      <c r="F982" s="14"/>
      <c r="G982" s="7"/>
      <c r="H982" s="10"/>
    </row>
    <row r="983">
      <c r="E983" s="10"/>
      <c r="F983" s="14"/>
      <c r="G983" s="7"/>
      <c r="H983" s="10"/>
    </row>
    <row r="984">
      <c r="E984" s="10"/>
      <c r="F984" s="14"/>
      <c r="G984" s="7"/>
      <c r="H984" s="10"/>
    </row>
    <row r="985">
      <c r="E985" s="10"/>
      <c r="F985" s="14"/>
      <c r="G985" s="7"/>
      <c r="H985" s="10"/>
    </row>
    <row r="986">
      <c r="E986" s="10"/>
      <c r="F986" s="14"/>
      <c r="G986" s="7"/>
      <c r="H986" s="10"/>
    </row>
    <row r="987">
      <c r="E987" s="10"/>
      <c r="F987" s="14"/>
      <c r="G987" s="7"/>
      <c r="H987" s="10"/>
    </row>
    <row r="988">
      <c r="E988" s="10"/>
      <c r="F988" s="14"/>
      <c r="G988" s="7"/>
      <c r="H988" s="10"/>
    </row>
    <row r="989">
      <c r="E989" s="10"/>
      <c r="F989" s="14"/>
      <c r="G989" s="7"/>
      <c r="H989" s="10"/>
    </row>
    <row r="990">
      <c r="E990" s="10"/>
      <c r="F990" s="14"/>
      <c r="G990" s="7"/>
      <c r="H990" s="10"/>
    </row>
    <row r="991">
      <c r="E991" s="10"/>
      <c r="F991" s="14"/>
      <c r="G991" s="7"/>
      <c r="H991" s="10"/>
    </row>
    <row r="992">
      <c r="E992" s="10"/>
      <c r="F992" s="14"/>
      <c r="G992" s="7"/>
      <c r="H992" s="10"/>
    </row>
    <row r="993">
      <c r="E993" s="10"/>
      <c r="F993" s="14"/>
      <c r="G993" s="7"/>
      <c r="H993" s="10"/>
    </row>
    <row r="994">
      <c r="E994" s="10"/>
      <c r="F994" s="14"/>
      <c r="G994" s="7"/>
      <c r="H994" s="10"/>
    </row>
    <row r="995">
      <c r="E995" s="10"/>
      <c r="F995" s="14"/>
      <c r="G995" s="7"/>
      <c r="H995" s="10"/>
    </row>
    <row r="996">
      <c r="E996" s="10"/>
      <c r="F996" s="14"/>
      <c r="G996" s="7"/>
      <c r="H996" s="10"/>
    </row>
    <row r="997">
      <c r="E997" s="10"/>
      <c r="F997" s="14"/>
      <c r="G997" s="7"/>
      <c r="H997" s="10"/>
    </row>
    <row r="998">
      <c r="E998" s="10"/>
      <c r="F998" s="14"/>
      <c r="G998" s="7"/>
      <c r="H998" s="10"/>
    </row>
    <row r="999">
      <c r="E999" s="10"/>
      <c r="F999" s="14"/>
      <c r="G999" s="7"/>
      <c r="H999" s="10"/>
    </row>
    <row r="1000">
      <c r="E1000" s="10"/>
      <c r="F1000" s="14"/>
      <c r="G1000" s="7"/>
      <c r="H1000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38"/>
  </cols>
  <sheetData>
    <row r="1">
      <c r="A1" s="15"/>
      <c r="B1" s="16" t="s">
        <v>11</v>
      </c>
      <c r="C1" s="16" t="s">
        <v>12</v>
      </c>
      <c r="D1" s="16" t="s">
        <v>13</v>
      </c>
      <c r="E1" s="17" t="s">
        <v>14</v>
      </c>
      <c r="F1" s="16" t="s">
        <v>10</v>
      </c>
      <c r="G1" s="1" t="s">
        <v>15</v>
      </c>
      <c r="H1" s="1" t="s">
        <v>16</v>
      </c>
      <c r="I1" s="16" t="s">
        <v>17</v>
      </c>
      <c r="J1" s="1" t="s">
        <v>18</v>
      </c>
      <c r="K1" s="1" t="s">
        <v>15</v>
      </c>
      <c r="L1" s="1" t="s">
        <v>16</v>
      </c>
      <c r="M1" s="1" t="s">
        <v>19</v>
      </c>
      <c r="O1" s="18" t="s">
        <v>20</v>
      </c>
      <c r="P1" s="18" t="s">
        <v>21</v>
      </c>
      <c r="Q1" s="18" t="s">
        <v>22</v>
      </c>
      <c r="R1" s="2" t="s">
        <v>10</v>
      </c>
      <c r="S1" s="2" t="s">
        <v>15</v>
      </c>
      <c r="T1" s="2" t="s">
        <v>16</v>
      </c>
      <c r="U1" s="19"/>
      <c r="V1" s="19"/>
      <c r="W1" s="19"/>
      <c r="X1" s="19"/>
      <c r="Y1" s="19"/>
      <c r="Z1" s="19"/>
    </row>
    <row r="2">
      <c r="A2" s="20" t="s">
        <v>23</v>
      </c>
      <c r="B2" s="21">
        <v>14607.0</v>
      </c>
      <c r="C2" s="21">
        <v>25441.0</v>
      </c>
      <c r="D2" s="21">
        <v>5216.0</v>
      </c>
      <c r="E2" s="12">
        <v>98.0</v>
      </c>
      <c r="F2" s="5">
        <f t="shared" ref="F2:F18" si="1">sum(B2:E2)-R2</f>
        <v>42148</v>
      </c>
      <c r="G2" s="22"/>
      <c r="H2" s="23"/>
      <c r="I2" s="21">
        <v>35742.0</v>
      </c>
      <c r="J2" s="5">
        <f t="shared" ref="J2:J18" si="2">F2+I2</f>
        <v>77890</v>
      </c>
      <c r="K2" s="22"/>
      <c r="L2" s="23"/>
      <c r="O2" s="24">
        <v>1736.0</v>
      </c>
      <c r="P2" s="24">
        <v>453.0</v>
      </c>
      <c r="Q2" s="24">
        <v>1025.0</v>
      </c>
      <c r="R2" s="25">
        <f t="shared" ref="R2:R18" si="3">sum(O2:Q2)</f>
        <v>3214</v>
      </c>
      <c r="S2" s="26"/>
      <c r="T2" s="27"/>
    </row>
    <row r="3">
      <c r="A3" s="20" t="s">
        <v>24</v>
      </c>
      <c r="B3" s="21">
        <v>15289.0</v>
      </c>
      <c r="C3" s="21">
        <v>26010.0</v>
      </c>
      <c r="D3" s="21">
        <v>5234.0</v>
      </c>
      <c r="E3" s="12">
        <v>99.0</v>
      </c>
      <c r="F3" s="5">
        <f t="shared" si="1"/>
        <v>42963</v>
      </c>
      <c r="G3" s="5">
        <f t="shared" ref="G3:G18" si="4">F3-F2</f>
        <v>815</v>
      </c>
      <c r="H3" s="28">
        <f t="shared" ref="H3:H18" si="5">G3/F2</f>
        <v>0.01933662333</v>
      </c>
      <c r="I3" s="21">
        <v>36338.0</v>
      </c>
      <c r="J3" s="5">
        <f t="shared" si="2"/>
        <v>79301</v>
      </c>
      <c r="K3" s="5">
        <f t="shared" ref="K3:K18" si="6">J3-J2</f>
        <v>1411</v>
      </c>
      <c r="L3" s="28">
        <f t="shared" ref="L3:L18" si="7">K3/J2</f>
        <v>0.01811529079</v>
      </c>
      <c r="O3" s="24">
        <v>1880.0</v>
      </c>
      <c r="P3" s="24">
        <f>803-39</f>
        <v>764</v>
      </c>
      <c r="Q3" s="24">
        <v>1025.0</v>
      </c>
      <c r="R3" s="25">
        <f t="shared" si="3"/>
        <v>3669</v>
      </c>
      <c r="S3" s="25">
        <f t="shared" ref="S3:S18" si="8">R3-R2</f>
        <v>455</v>
      </c>
      <c r="T3" s="14">
        <f t="shared" ref="T3:T18" si="9">S3/R2</f>
        <v>0.1415681394</v>
      </c>
    </row>
    <row r="4">
      <c r="A4" s="20" t="s">
        <v>25</v>
      </c>
      <c r="B4" s="21">
        <v>16117.0</v>
      </c>
      <c r="C4" s="21">
        <v>26886.0</v>
      </c>
      <c r="D4" s="21">
        <v>5252.0</v>
      </c>
      <c r="E4" s="12">
        <v>187.0</v>
      </c>
      <c r="F4" s="5">
        <f t="shared" si="1"/>
        <v>44025</v>
      </c>
      <c r="G4" s="5">
        <f t="shared" si="4"/>
        <v>1062</v>
      </c>
      <c r="H4" s="28">
        <f t="shared" si="5"/>
        <v>0.02471894421</v>
      </c>
      <c r="I4" s="21">
        <v>36956.0</v>
      </c>
      <c r="J4" s="5">
        <f t="shared" si="2"/>
        <v>80981</v>
      </c>
      <c r="K4" s="5">
        <f t="shared" si="6"/>
        <v>1680</v>
      </c>
      <c r="L4" s="28">
        <f t="shared" si="7"/>
        <v>0.02118510485</v>
      </c>
      <c r="M4" s="28"/>
      <c r="O4" s="24">
        <f>10000-7268</f>
        <v>2732</v>
      </c>
      <c r="P4" s="24">
        <v>660.0</v>
      </c>
      <c r="Q4" s="24">
        <v>1025.0</v>
      </c>
      <c r="R4" s="25">
        <f t="shared" si="3"/>
        <v>4417</v>
      </c>
      <c r="S4" s="25">
        <f t="shared" si="8"/>
        <v>748</v>
      </c>
      <c r="T4" s="14">
        <f t="shared" si="9"/>
        <v>0.2038702644</v>
      </c>
    </row>
    <row r="5">
      <c r="A5" s="20" t="s">
        <v>26</v>
      </c>
      <c r="B5" s="21">
        <v>17073.0</v>
      </c>
      <c r="C5" s="21">
        <v>24857.0</v>
      </c>
      <c r="D5" s="21">
        <f>5268+4000</f>
        <v>9268</v>
      </c>
      <c r="E5" s="12">
        <v>258.0</v>
      </c>
      <c r="F5" s="5">
        <f t="shared" si="1"/>
        <v>46233</v>
      </c>
      <c r="G5" s="5">
        <f t="shared" si="4"/>
        <v>2208</v>
      </c>
      <c r="H5" s="28">
        <f t="shared" si="5"/>
        <v>0.05015332198</v>
      </c>
      <c r="I5" s="21">
        <v>38479.0</v>
      </c>
      <c r="J5" s="5">
        <f t="shared" si="2"/>
        <v>84712</v>
      </c>
      <c r="K5" s="5">
        <f t="shared" si="6"/>
        <v>3731</v>
      </c>
      <c r="L5" s="28">
        <f t="shared" si="7"/>
        <v>0.04607253553</v>
      </c>
      <c r="M5" s="28"/>
      <c r="O5" s="24">
        <v>3498.0</v>
      </c>
      <c r="P5" s="24">
        <v>700.0</v>
      </c>
      <c r="Q5" s="24">
        <v>1025.0</v>
      </c>
      <c r="R5" s="25">
        <f t="shared" si="3"/>
        <v>5223</v>
      </c>
      <c r="S5" s="25">
        <f t="shared" si="8"/>
        <v>806</v>
      </c>
      <c r="T5" s="14">
        <f t="shared" si="9"/>
        <v>0.1824767942</v>
      </c>
    </row>
    <row r="6">
      <c r="A6" s="20" t="s">
        <v>27</v>
      </c>
      <c r="B6" s="21">
        <v>16830.0</v>
      </c>
      <c r="C6" s="21">
        <v>26235.0</v>
      </c>
      <c r="D6" s="21">
        <v>9839.0</v>
      </c>
      <c r="E6" s="12">
        <v>272.0</v>
      </c>
      <c r="F6" s="5">
        <f t="shared" si="1"/>
        <v>47812</v>
      </c>
      <c r="G6" s="5">
        <f t="shared" si="4"/>
        <v>1579</v>
      </c>
      <c r="H6" s="28">
        <f t="shared" si="5"/>
        <v>0.03415309411</v>
      </c>
      <c r="I6" s="21">
        <v>36275.0</v>
      </c>
      <c r="J6" s="5">
        <f t="shared" si="2"/>
        <v>84087</v>
      </c>
      <c r="K6" s="5">
        <f t="shared" si="6"/>
        <v>-625</v>
      </c>
      <c r="L6" s="28">
        <f t="shared" si="7"/>
        <v>-0.007377939371</v>
      </c>
      <c r="M6" s="4" t="s">
        <v>28</v>
      </c>
      <c r="O6" s="24">
        <v>3714.0</v>
      </c>
      <c r="P6" s="24">
        <v>625.0</v>
      </c>
      <c r="Q6" s="24">
        <v>1025.0</v>
      </c>
      <c r="R6" s="25">
        <f t="shared" si="3"/>
        <v>5364</v>
      </c>
      <c r="S6" s="25">
        <f t="shared" si="8"/>
        <v>141</v>
      </c>
      <c r="T6" s="14">
        <f t="shared" si="9"/>
        <v>0.02699597932</v>
      </c>
    </row>
    <row r="7">
      <c r="A7" s="20" t="s">
        <v>29</v>
      </c>
      <c r="B7" s="21">
        <v>18144.0</v>
      </c>
      <c r="C7" s="21">
        <v>26809.0</v>
      </c>
      <c r="D7" s="21">
        <v>10328.0</v>
      </c>
      <c r="E7" s="12">
        <v>300.0</v>
      </c>
      <c r="F7" s="5">
        <f t="shared" si="1"/>
        <v>48981</v>
      </c>
      <c r="G7" s="5">
        <f t="shared" si="4"/>
        <v>1169</v>
      </c>
      <c r="H7" s="28">
        <f t="shared" si="5"/>
        <v>0.02444992889</v>
      </c>
      <c r="I7" s="21">
        <v>39628.0</v>
      </c>
      <c r="J7" s="5">
        <f t="shared" si="2"/>
        <v>88609</v>
      </c>
      <c r="K7" s="5">
        <f t="shared" si="6"/>
        <v>4522</v>
      </c>
      <c r="L7" s="28">
        <f t="shared" si="7"/>
        <v>0.05377763507</v>
      </c>
      <c r="M7" s="4" t="s">
        <v>30</v>
      </c>
      <c r="O7" s="21">
        <v>3975.0</v>
      </c>
      <c r="P7" s="21">
        <v>1600.0</v>
      </c>
      <c r="Q7" s="21">
        <v>1025.0</v>
      </c>
      <c r="R7" s="5">
        <f t="shared" si="3"/>
        <v>6600</v>
      </c>
      <c r="S7" s="5">
        <f t="shared" si="8"/>
        <v>1236</v>
      </c>
      <c r="T7" s="28">
        <f t="shared" si="9"/>
        <v>0.2304250559</v>
      </c>
    </row>
    <row r="8">
      <c r="A8" s="20" t="s">
        <v>31</v>
      </c>
      <c r="B8" s="21">
        <v>20700.0</v>
      </c>
      <c r="C8" s="21">
        <f>26686+750</f>
        <v>27436</v>
      </c>
      <c r="D8" s="21">
        <f t="shared" ref="D8:D18" si="10">D7+30</f>
        <v>10358</v>
      </c>
      <c r="E8" s="12">
        <v>300.0</v>
      </c>
      <c r="F8" s="5">
        <f t="shared" si="1"/>
        <v>52699</v>
      </c>
      <c r="G8" s="5">
        <f t="shared" si="4"/>
        <v>3718</v>
      </c>
      <c r="H8" s="28">
        <f t="shared" si="5"/>
        <v>0.07590698434</v>
      </c>
      <c r="I8" s="21">
        <v>42570.0</v>
      </c>
      <c r="J8" s="5">
        <f t="shared" si="2"/>
        <v>95269</v>
      </c>
      <c r="K8" s="5">
        <f t="shared" si="6"/>
        <v>6660</v>
      </c>
      <c r="L8" s="28">
        <f t="shared" si="7"/>
        <v>0.07516166529</v>
      </c>
      <c r="M8" s="28"/>
      <c r="O8" s="21">
        <v>4450.0</v>
      </c>
      <c r="P8" s="21">
        <v>620.0</v>
      </c>
      <c r="Q8" s="21">
        <v>1025.0</v>
      </c>
      <c r="R8" s="5">
        <f t="shared" si="3"/>
        <v>6095</v>
      </c>
      <c r="S8" s="5">
        <f t="shared" si="8"/>
        <v>-505</v>
      </c>
      <c r="T8" s="28">
        <f t="shared" si="9"/>
        <v>-0.07651515152</v>
      </c>
    </row>
    <row r="9">
      <c r="A9" s="29" t="s">
        <v>32</v>
      </c>
      <c r="B9" s="30">
        <f>B8+750+1000</f>
        <v>22450</v>
      </c>
      <c r="C9" s="31">
        <f>C8+70+750+1000</f>
        <v>29256</v>
      </c>
      <c r="D9" s="31">
        <f t="shared" si="10"/>
        <v>10388</v>
      </c>
      <c r="E9" s="32">
        <v>280.0</v>
      </c>
      <c r="F9" s="30">
        <f t="shared" si="1"/>
        <v>55649</v>
      </c>
      <c r="G9" s="30">
        <f t="shared" si="4"/>
        <v>2950</v>
      </c>
      <c r="H9" s="33">
        <f t="shared" si="5"/>
        <v>0.05597829181</v>
      </c>
      <c r="I9" s="31">
        <f t="shared" ref="I9:I18" si="11">I8+615</f>
        <v>43185</v>
      </c>
      <c r="J9" s="30">
        <f t="shared" si="2"/>
        <v>98834</v>
      </c>
      <c r="K9" s="30">
        <f t="shared" si="6"/>
        <v>3565</v>
      </c>
      <c r="L9" s="33">
        <f t="shared" si="7"/>
        <v>0.03742035709</v>
      </c>
      <c r="M9" s="33"/>
      <c r="N9" s="34"/>
      <c r="O9" s="31">
        <v>5000.0</v>
      </c>
      <c r="P9" s="31">
        <v>700.0</v>
      </c>
      <c r="Q9" s="31">
        <v>1025.0</v>
      </c>
      <c r="R9" s="30">
        <f t="shared" si="3"/>
        <v>6725</v>
      </c>
      <c r="S9" s="30">
        <f t="shared" si="8"/>
        <v>630</v>
      </c>
      <c r="T9" s="33">
        <f t="shared" si="9"/>
        <v>0.1033634126</v>
      </c>
    </row>
    <row r="10">
      <c r="A10" s="29" t="s">
        <v>33</v>
      </c>
      <c r="B10" s="30">
        <f t="shared" ref="B10:B13" si="12">B9+750</f>
        <v>23200</v>
      </c>
      <c r="C10" s="31">
        <f t="shared" ref="C10:C11" si="13">C9+70+750</f>
        <v>30076</v>
      </c>
      <c r="D10" s="31">
        <f t="shared" si="10"/>
        <v>10418</v>
      </c>
      <c r="E10" s="32">
        <v>280.0</v>
      </c>
      <c r="F10" s="30">
        <f t="shared" si="1"/>
        <v>57249</v>
      </c>
      <c r="G10" s="30">
        <f t="shared" si="4"/>
        <v>1600</v>
      </c>
      <c r="H10" s="33">
        <f t="shared" si="5"/>
        <v>0.02875163974</v>
      </c>
      <c r="I10" s="31">
        <f t="shared" si="11"/>
        <v>43800</v>
      </c>
      <c r="J10" s="30">
        <f t="shared" si="2"/>
        <v>101049</v>
      </c>
      <c r="K10" s="30">
        <f t="shared" si="6"/>
        <v>2215</v>
      </c>
      <c r="L10" s="33">
        <f t="shared" si="7"/>
        <v>0.02241131594</v>
      </c>
      <c r="M10" s="33"/>
      <c r="N10" s="34"/>
      <c r="O10" s="31">
        <v>5000.0</v>
      </c>
      <c r="P10" s="31">
        <v>700.0</v>
      </c>
      <c r="Q10" s="31">
        <v>1025.0</v>
      </c>
      <c r="R10" s="30">
        <f t="shared" si="3"/>
        <v>6725</v>
      </c>
      <c r="S10" s="30">
        <f t="shared" si="8"/>
        <v>0</v>
      </c>
      <c r="T10" s="33">
        <f t="shared" si="9"/>
        <v>0</v>
      </c>
    </row>
    <row r="11">
      <c r="A11" s="29" t="s">
        <v>34</v>
      </c>
      <c r="B11" s="30">
        <f t="shared" si="12"/>
        <v>23950</v>
      </c>
      <c r="C11" s="31">
        <f t="shared" si="13"/>
        <v>30896</v>
      </c>
      <c r="D11" s="31">
        <f t="shared" si="10"/>
        <v>10448</v>
      </c>
      <c r="E11" s="32">
        <v>280.0</v>
      </c>
      <c r="F11" s="30">
        <f t="shared" si="1"/>
        <v>58849</v>
      </c>
      <c r="G11" s="30">
        <f t="shared" si="4"/>
        <v>1600</v>
      </c>
      <c r="H11" s="33">
        <f t="shared" si="5"/>
        <v>0.02794808643</v>
      </c>
      <c r="I11" s="31">
        <f t="shared" si="11"/>
        <v>44415</v>
      </c>
      <c r="J11" s="30">
        <f t="shared" si="2"/>
        <v>103264</v>
      </c>
      <c r="K11" s="30">
        <f t="shared" si="6"/>
        <v>2215</v>
      </c>
      <c r="L11" s="33">
        <f t="shared" si="7"/>
        <v>0.02192005859</v>
      </c>
      <c r="M11" s="33"/>
      <c r="N11" s="34"/>
      <c r="O11" s="31">
        <v>5000.0</v>
      </c>
      <c r="P11" s="31">
        <v>700.0</v>
      </c>
      <c r="Q11" s="31">
        <v>1025.0</v>
      </c>
      <c r="R11" s="30">
        <f t="shared" si="3"/>
        <v>6725</v>
      </c>
      <c r="S11" s="30">
        <f t="shared" si="8"/>
        <v>0</v>
      </c>
      <c r="T11" s="33">
        <f t="shared" si="9"/>
        <v>0</v>
      </c>
    </row>
    <row r="12">
      <c r="A12" s="29" t="s">
        <v>35</v>
      </c>
      <c r="B12" s="30">
        <f t="shared" si="12"/>
        <v>24700</v>
      </c>
      <c r="C12" s="31">
        <f>C11+70+750-5025</f>
        <v>26691</v>
      </c>
      <c r="D12" s="31">
        <f t="shared" si="10"/>
        <v>10478</v>
      </c>
      <c r="E12" s="32">
        <v>280.0</v>
      </c>
      <c r="F12" s="30">
        <f t="shared" si="1"/>
        <v>61449</v>
      </c>
      <c r="G12" s="30">
        <f t="shared" si="4"/>
        <v>2600</v>
      </c>
      <c r="H12" s="33">
        <f t="shared" si="5"/>
        <v>0.04418086968</v>
      </c>
      <c r="I12" s="31">
        <f t="shared" si="11"/>
        <v>45030</v>
      </c>
      <c r="J12" s="30">
        <f t="shared" si="2"/>
        <v>106479</v>
      </c>
      <c r="K12" s="30">
        <f t="shared" si="6"/>
        <v>3215</v>
      </c>
      <c r="L12" s="33">
        <f t="shared" si="7"/>
        <v>0.031133793</v>
      </c>
      <c r="M12" s="33"/>
      <c r="N12" s="34"/>
      <c r="O12" s="31">
        <v>0.0</v>
      </c>
      <c r="P12" s="31">
        <v>700.0</v>
      </c>
      <c r="Q12" s="31">
        <v>0.0</v>
      </c>
      <c r="R12" s="30">
        <f t="shared" si="3"/>
        <v>700</v>
      </c>
      <c r="S12" s="30">
        <f t="shared" si="8"/>
        <v>-6025</v>
      </c>
      <c r="T12" s="33">
        <f t="shared" si="9"/>
        <v>-0.8959107807</v>
      </c>
    </row>
    <row r="13">
      <c r="A13" s="29" t="s">
        <v>36</v>
      </c>
      <c r="B13" s="30">
        <f t="shared" si="12"/>
        <v>25450</v>
      </c>
      <c r="C13" s="31">
        <f>C12+70+750</f>
        <v>27511</v>
      </c>
      <c r="D13" s="31">
        <f t="shared" si="10"/>
        <v>10508</v>
      </c>
      <c r="E13" s="32">
        <v>280.0</v>
      </c>
      <c r="F13" s="30">
        <f t="shared" si="1"/>
        <v>63049</v>
      </c>
      <c r="G13" s="30">
        <f t="shared" si="4"/>
        <v>1600</v>
      </c>
      <c r="H13" s="33">
        <f t="shared" si="5"/>
        <v>0.02603785253</v>
      </c>
      <c r="I13" s="31">
        <f t="shared" si="11"/>
        <v>45645</v>
      </c>
      <c r="J13" s="30">
        <f t="shared" si="2"/>
        <v>108694</v>
      </c>
      <c r="K13" s="30">
        <f t="shared" si="6"/>
        <v>2215</v>
      </c>
      <c r="L13" s="33">
        <f t="shared" si="7"/>
        <v>0.02080222391</v>
      </c>
      <c r="M13" s="33"/>
      <c r="N13" s="34"/>
      <c r="O13" s="31">
        <v>0.0</v>
      </c>
      <c r="P13" s="31">
        <v>700.0</v>
      </c>
      <c r="Q13" s="31">
        <v>0.0</v>
      </c>
      <c r="R13" s="30">
        <f t="shared" si="3"/>
        <v>700</v>
      </c>
      <c r="S13" s="30">
        <f t="shared" si="8"/>
        <v>0</v>
      </c>
      <c r="T13" s="33">
        <f t="shared" si="9"/>
        <v>0</v>
      </c>
    </row>
    <row r="14">
      <c r="A14" s="29" t="s">
        <v>37</v>
      </c>
      <c r="B14" s="30">
        <f>B13+750+1000</f>
        <v>27200</v>
      </c>
      <c r="C14" s="31">
        <f>C13+70+750+1000</f>
        <v>29331</v>
      </c>
      <c r="D14" s="31">
        <f t="shared" si="10"/>
        <v>10538</v>
      </c>
      <c r="E14" s="32">
        <v>280.0</v>
      </c>
      <c r="F14" s="30">
        <f t="shared" si="1"/>
        <v>66649</v>
      </c>
      <c r="G14" s="30">
        <f t="shared" si="4"/>
        <v>3600</v>
      </c>
      <c r="H14" s="33">
        <f t="shared" si="5"/>
        <v>0.05709844724</v>
      </c>
      <c r="I14" s="31">
        <f t="shared" si="11"/>
        <v>46260</v>
      </c>
      <c r="J14" s="30">
        <f t="shared" si="2"/>
        <v>112909</v>
      </c>
      <c r="K14" s="30">
        <f t="shared" si="6"/>
        <v>4215</v>
      </c>
      <c r="L14" s="33">
        <f t="shared" si="7"/>
        <v>0.03877858943</v>
      </c>
      <c r="M14" s="33"/>
      <c r="N14" s="34"/>
      <c r="O14" s="31">
        <v>0.0</v>
      </c>
      <c r="P14" s="31">
        <v>700.0</v>
      </c>
      <c r="Q14" s="31">
        <v>0.0</v>
      </c>
      <c r="R14" s="30">
        <f t="shared" si="3"/>
        <v>700</v>
      </c>
      <c r="S14" s="30">
        <f t="shared" si="8"/>
        <v>0</v>
      </c>
      <c r="T14" s="33">
        <f t="shared" si="9"/>
        <v>0</v>
      </c>
    </row>
    <row r="15">
      <c r="A15" s="29" t="s">
        <v>38</v>
      </c>
      <c r="B15" s="30">
        <f t="shared" ref="B15:B18" si="14">B14+750</f>
        <v>27950</v>
      </c>
      <c r="C15" s="31">
        <f t="shared" ref="C15:C18" si="15">C14+70+750</f>
        <v>30151</v>
      </c>
      <c r="D15" s="31">
        <f t="shared" si="10"/>
        <v>10568</v>
      </c>
      <c r="E15" s="32">
        <v>280.0</v>
      </c>
      <c r="F15" s="30">
        <f t="shared" si="1"/>
        <v>68249</v>
      </c>
      <c r="G15" s="30">
        <f t="shared" si="4"/>
        <v>1600</v>
      </c>
      <c r="H15" s="33">
        <f t="shared" si="5"/>
        <v>0.02400636169</v>
      </c>
      <c r="I15" s="31">
        <f t="shared" si="11"/>
        <v>46875</v>
      </c>
      <c r="J15" s="30">
        <f t="shared" si="2"/>
        <v>115124</v>
      </c>
      <c r="K15" s="30">
        <f t="shared" si="6"/>
        <v>2215</v>
      </c>
      <c r="L15" s="33">
        <f t="shared" si="7"/>
        <v>0.01961756813</v>
      </c>
      <c r="M15" s="33"/>
      <c r="N15" s="34"/>
      <c r="O15" s="31">
        <v>0.0</v>
      </c>
      <c r="P15" s="31">
        <v>700.0</v>
      </c>
      <c r="Q15" s="31">
        <v>0.0</v>
      </c>
      <c r="R15" s="30">
        <f t="shared" si="3"/>
        <v>700</v>
      </c>
      <c r="S15" s="30">
        <f t="shared" si="8"/>
        <v>0</v>
      </c>
      <c r="T15" s="33">
        <f t="shared" si="9"/>
        <v>0</v>
      </c>
      <c r="U15" s="34"/>
      <c r="V15" s="34"/>
      <c r="W15" s="34"/>
      <c r="X15" s="34"/>
      <c r="Y15" s="34"/>
      <c r="Z15" s="34"/>
    </row>
    <row r="16">
      <c r="A16" s="29" t="s">
        <v>39</v>
      </c>
      <c r="B16" s="30">
        <f t="shared" si="14"/>
        <v>28700</v>
      </c>
      <c r="C16" s="31">
        <f t="shared" si="15"/>
        <v>30971</v>
      </c>
      <c r="D16" s="31">
        <f t="shared" si="10"/>
        <v>10598</v>
      </c>
      <c r="E16" s="32">
        <v>280.0</v>
      </c>
      <c r="F16" s="30">
        <f t="shared" si="1"/>
        <v>69849</v>
      </c>
      <c r="G16" s="30">
        <f t="shared" si="4"/>
        <v>1600</v>
      </c>
      <c r="H16" s="33">
        <f t="shared" si="5"/>
        <v>0.02344356694</v>
      </c>
      <c r="I16" s="31">
        <f t="shared" si="11"/>
        <v>47490</v>
      </c>
      <c r="J16" s="30">
        <f t="shared" si="2"/>
        <v>117339</v>
      </c>
      <c r="K16" s="30">
        <f t="shared" si="6"/>
        <v>2215</v>
      </c>
      <c r="L16" s="33">
        <f t="shared" si="7"/>
        <v>0.01924012369</v>
      </c>
      <c r="M16" s="33"/>
      <c r="N16" s="34"/>
      <c r="O16" s="31">
        <v>0.0</v>
      </c>
      <c r="P16" s="31">
        <v>700.0</v>
      </c>
      <c r="Q16" s="31">
        <v>0.0</v>
      </c>
      <c r="R16" s="30">
        <f t="shared" si="3"/>
        <v>700</v>
      </c>
      <c r="S16" s="30">
        <f t="shared" si="8"/>
        <v>0</v>
      </c>
      <c r="T16" s="33">
        <f t="shared" si="9"/>
        <v>0</v>
      </c>
      <c r="U16" s="34"/>
      <c r="V16" s="34"/>
      <c r="W16" s="34"/>
      <c r="X16" s="34"/>
      <c r="Y16" s="34"/>
      <c r="Z16" s="34"/>
    </row>
    <row r="17">
      <c r="A17" s="29" t="s">
        <v>40</v>
      </c>
      <c r="B17" s="30">
        <f t="shared" si="14"/>
        <v>29450</v>
      </c>
      <c r="C17" s="31">
        <f t="shared" si="15"/>
        <v>31791</v>
      </c>
      <c r="D17" s="31">
        <f t="shared" si="10"/>
        <v>10628</v>
      </c>
      <c r="E17" s="32">
        <v>280.0</v>
      </c>
      <c r="F17" s="30">
        <f t="shared" si="1"/>
        <v>71449</v>
      </c>
      <c r="G17" s="30">
        <f t="shared" si="4"/>
        <v>1600</v>
      </c>
      <c r="H17" s="33">
        <f t="shared" si="5"/>
        <v>0.02290655557</v>
      </c>
      <c r="I17" s="31">
        <f t="shared" si="11"/>
        <v>48105</v>
      </c>
      <c r="J17" s="30">
        <f t="shared" si="2"/>
        <v>119554</v>
      </c>
      <c r="K17" s="30">
        <f t="shared" si="6"/>
        <v>2215</v>
      </c>
      <c r="L17" s="33">
        <f t="shared" si="7"/>
        <v>0.01887692924</v>
      </c>
      <c r="M17" s="33"/>
      <c r="N17" s="34"/>
      <c r="O17" s="31">
        <v>0.0</v>
      </c>
      <c r="P17" s="31">
        <v>700.0</v>
      </c>
      <c r="Q17" s="31">
        <v>0.0</v>
      </c>
      <c r="R17" s="30">
        <f t="shared" si="3"/>
        <v>700</v>
      </c>
      <c r="S17" s="30">
        <f t="shared" si="8"/>
        <v>0</v>
      </c>
      <c r="T17" s="33">
        <f t="shared" si="9"/>
        <v>0</v>
      </c>
      <c r="U17" s="34"/>
      <c r="V17" s="34"/>
      <c r="W17" s="34"/>
      <c r="X17" s="34"/>
      <c r="Y17" s="34"/>
      <c r="Z17" s="34"/>
    </row>
    <row r="18">
      <c r="A18" s="29" t="s">
        <v>41</v>
      </c>
      <c r="B18" s="30">
        <f t="shared" si="14"/>
        <v>30200</v>
      </c>
      <c r="C18" s="31">
        <f t="shared" si="15"/>
        <v>32611</v>
      </c>
      <c r="D18" s="31">
        <f t="shared" si="10"/>
        <v>10658</v>
      </c>
      <c r="E18" s="32">
        <v>280.0</v>
      </c>
      <c r="F18" s="30">
        <f t="shared" si="1"/>
        <v>73049</v>
      </c>
      <c r="G18" s="30">
        <f t="shared" si="4"/>
        <v>1600</v>
      </c>
      <c r="H18" s="33">
        <f t="shared" si="5"/>
        <v>0.02239359543</v>
      </c>
      <c r="I18" s="31">
        <f t="shared" si="11"/>
        <v>48720</v>
      </c>
      <c r="J18" s="30">
        <f t="shared" si="2"/>
        <v>121769</v>
      </c>
      <c r="K18" s="30">
        <f t="shared" si="6"/>
        <v>2215</v>
      </c>
      <c r="L18" s="33">
        <f t="shared" si="7"/>
        <v>0.01852719273</v>
      </c>
      <c r="M18" s="33"/>
      <c r="N18" s="34"/>
      <c r="O18" s="31">
        <v>0.0</v>
      </c>
      <c r="P18" s="31">
        <v>700.0</v>
      </c>
      <c r="Q18" s="31">
        <v>0.0</v>
      </c>
      <c r="R18" s="30">
        <f t="shared" si="3"/>
        <v>700</v>
      </c>
      <c r="S18" s="30">
        <f t="shared" si="8"/>
        <v>0</v>
      </c>
      <c r="T18" s="33">
        <f t="shared" si="9"/>
        <v>0</v>
      </c>
      <c r="U18" s="34"/>
      <c r="V18" s="34"/>
      <c r="W18" s="34"/>
      <c r="X18" s="34"/>
      <c r="Y18" s="34"/>
      <c r="Z18" s="34"/>
    </row>
    <row r="19">
      <c r="A19" s="35"/>
      <c r="B19" s="30"/>
      <c r="C19" s="30"/>
      <c r="D19" s="30"/>
      <c r="E19" s="36"/>
      <c r="F19" s="30"/>
      <c r="G19" s="34"/>
      <c r="H19" s="33"/>
      <c r="I19" s="30"/>
      <c r="J19" s="30"/>
      <c r="K19" s="34"/>
      <c r="L19" s="34"/>
      <c r="M19" s="33"/>
      <c r="N19" s="34"/>
      <c r="O19" s="30"/>
      <c r="P19" s="30"/>
      <c r="Q19" s="30"/>
      <c r="R19" s="34"/>
      <c r="S19" s="34"/>
      <c r="T19" s="33"/>
      <c r="U19" s="34"/>
      <c r="V19" s="34"/>
      <c r="W19" s="34"/>
      <c r="X19" s="34"/>
      <c r="Y19" s="34"/>
      <c r="Z19" s="34"/>
    </row>
    <row r="20">
      <c r="A20" s="35"/>
      <c r="B20" s="30"/>
      <c r="C20" s="30"/>
      <c r="D20" s="30"/>
      <c r="E20" s="36"/>
      <c r="F20" s="30"/>
      <c r="G20" s="34"/>
      <c r="H20" s="33"/>
      <c r="I20" s="30"/>
      <c r="J20" s="30"/>
      <c r="K20" s="34"/>
      <c r="L20" s="34"/>
      <c r="M20" s="33"/>
      <c r="N20" s="34"/>
      <c r="O20" s="30"/>
      <c r="P20" s="30"/>
      <c r="Q20" s="30"/>
      <c r="R20" s="34"/>
      <c r="S20" s="34"/>
      <c r="T20" s="33"/>
      <c r="U20" s="34"/>
      <c r="V20" s="34"/>
      <c r="W20" s="34"/>
      <c r="X20" s="34"/>
      <c r="Y20" s="34"/>
      <c r="Z20" s="34"/>
    </row>
    <row r="21">
      <c r="A21" s="35"/>
      <c r="B21" s="30"/>
      <c r="C21" s="30"/>
      <c r="D21" s="30"/>
      <c r="E21" s="36"/>
      <c r="F21" s="30"/>
      <c r="G21" s="34"/>
      <c r="H21" s="33"/>
      <c r="I21" s="30"/>
      <c r="J21" s="30"/>
      <c r="K21" s="34"/>
      <c r="L21" s="34"/>
      <c r="M21" s="33"/>
      <c r="N21" s="34"/>
      <c r="O21" s="30"/>
      <c r="P21" s="30"/>
      <c r="Q21" s="30"/>
      <c r="R21" s="34"/>
      <c r="S21" s="34"/>
      <c r="T21" s="33"/>
      <c r="U21" s="34"/>
      <c r="V21" s="34"/>
      <c r="W21" s="34"/>
      <c r="X21" s="34"/>
      <c r="Y21" s="34"/>
      <c r="Z21" s="34"/>
    </row>
    <row r="22">
      <c r="A22" s="35"/>
      <c r="B22" s="30"/>
      <c r="C22" s="30"/>
      <c r="D22" s="30"/>
      <c r="E22" s="36"/>
      <c r="F22" s="30"/>
      <c r="G22" s="34"/>
      <c r="H22" s="33"/>
      <c r="I22" s="30"/>
      <c r="J22" s="30"/>
      <c r="K22" s="34"/>
      <c r="L22" s="34"/>
      <c r="M22" s="33"/>
      <c r="N22" s="34"/>
      <c r="O22" s="30"/>
      <c r="P22" s="30"/>
      <c r="Q22" s="30"/>
      <c r="R22" s="34"/>
      <c r="S22" s="34"/>
      <c r="T22" s="33"/>
      <c r="U22" s="34"/>
      <c r="V22" s="34"/>
      <c r="W22" s="34"/>
      <c r="X22" s="34"/>
      <c r="Y22" s="34"/>
      <c r="Z22" s="34"/>
    </row>
    <row r="23">
      <c r="A23" s="35"/>
      <c r="B23" s="30"/>
      <c r="C23" s="30"/>
      <c r="D23" s="30"/>
      <c r="E23" s="36"/>
      <c r="F23" s="30"/>
      <c r="G23" s="34"/>
      <c r="H23" s="33"/>
      <c r="I23" s="30"/>
      <c r="J23" s="30"/>
      <c r="K23" s="34"/>
      <c r="L23" s="34"/>
      <c r="M23" s="33"/>
      <c r="N23" s="34"/>
      <c r="O23" s="30"/>
      <c r="P23" s="30"/>
      <c r="Q23" s="30"/>
      <c r="R23" s="34"/>
      <c r="S23" s="34"/>
      <c r="T23" s="33"/>
      <c r="U23" s="34"/>
      <c r="V23" s="34"/>
      <c r="W23" s="34"/>
      <c r="X23" s="34"/>
      <c r="Y23" s="34"/>
      <c r="Z23" s="34"/>
    </row>
    <row r="24">
      <c r="A24" s="35"/>
      <c r="B24" s="30"/>
      <c r="C24" s="30"/>
      <c r="D24" s="30"/>
      <c r="E24" s="36"/>
      <c r="F24" s="30"/>
      <c r="G24" s="34"/>
      <c r="H24" s="33"/>
      <c r="I24" s="30"/>
      <c r="J24" s="30"/>
      <c r="K24" s="34"/>
      <c r="L24" s="34"/>
      <c r="M24" s="33"/>
      <c r="N24" s="34"/>
      <c r="O24" s="30"/>
      <c r="P24" s="30"/>
      <c r="Q24" s="30"/>
      <c r="R24" s="34"/>
      <c r="S24" s="34"/>
      <c r="T24" s="33"/>
      <c r="U24" s="34"/>
      <c r="V24" s="34"/>
      <c r="W24" s="34"/>
      <c r="X24" s="34"/>
      <c r="Y24" s="34"/>
      <c r="Z24" s="34"/>
    </row>
    <row r="25">
      <c r="A25" s="35"/>
      <c r="B25" s="30"/>
      <c r="C25" s="30"/>
      <c r="D25" s="30"/>
      <c r="E25" s="36"/>
      <c r="F25" s="30"/>
      <c r="G25" s="34"/>
      <c r="H25" s="33"/>
      <c r="I25" s="30"/>
      <c r="J25" s="30"/>
      <c r="K25" s="34"/>
      <c r="L25" s="34"/>
      <c r="M25" s="33"/>
      <c r="N25" s="34"/>
      <c r="O25" s="30"/>
      <c r="P25" s="30"/>
      <c r="Q25" s="30"/>
      <c r="R25" s="34"/>
      <c r="S25" s="34"/>
      <c r="T25" s="33"/>
      <c r="U25" s="34"/>
      <c r="V25" s="34"/>
      <c r="W25" s="34"/>
      <c r="X25" s="34"/>
      <c r="Y25" s="34"/>
      <c r="Z25" s="34"/>
    </row>
    <row r="26">
      <c r="A26" s="35"/>
      <c r="B26" s="30"/>
      <c r="C26" s="30"/>
      <c r="D26" s="30"/>
      <c r="E26" s="36"/>
      <c r="F26" s="30"/>
      <c r="G26" s="34"/>
      <c r="H26" s="33"/>
      <c r="I26" s="30"/>
      <c r="J26" s="30"/>
      <c r="K26" s="34"/>
      <c r="L26" s="34"/>
      <c r="M26" s="33"/>
      <c r="N26" s="34"/>
      <c r="O26" s="30"/>
      <c r="P26" s="30"/>
      <c r="Q26" s="30"/>
      <c r="R26" s="34"/>
      <c r="S26" s="34"/>
      <c r="T26" s="33"/>
      <c r="U26" s="34"/>
      <c r="V26" s="34"/>
      <c r="W26" s="34"/>
      <c r="X26" s="34"/>
      <c r="Y26" s="34"/>
      <c r="Z26" s="34"/>
    </row>
    <row r="27">
      <c r="A27" s="35"/>
      <c r="B27" s="30"/>
      <c r="C27" s="30"/>
      <c r="D27" s="30"/>
      <c r="E27" s="36"/>
      <c r="F27" s="30"/>
      <c r="G27" s="34"/>
      <c r="H27" s="33"/>
      <c r="I27" s="30"/>
      <c r="J27" s="30"/>
      <c r="K27" s="34"/>
      <c r="L27" s="34"/>
      <c r="M27" s="33"/>
      <c r="N27" s="34"/>
      <c r="O27" s="30"/>
      <c r="P27" s="30"/>
      <c r="Q27" s="30"/>
      <c r="R27" s="34"/>
      <c r="S27" s="34"/>
      <c r="T27" s="33"/>
      <c r="U27" s="34"/>
      <c r="V27" s="34"/>
      <c r="W27" s="34"/>
      <c r="X27" s="34"/>
      <c r="Y27" s="34"/>
      <c r="Z27" s="34"/>
    </row>
    <row r="28">
      <c r="A28" s="35"/>
      <c r="B28" s="30"/>
      <c r="C28" s="30"/>
      <c r="D28" s="30"/>
      <c r="E28" s="36"/>
      <c r="F28" s="30"/>
      <c r="G28" s="34"/>
      <c r="H28" s="33"/>
      <c r="I28" s="30"/>
      <c r="J28" s="30"/>
      <c r="K28" s="34"/>
      <c r="L28" s="34"/>
      <c r="M28" s="33"/>
      <c r="N28" s="34"/>
      <c r="O28" s="30"/>
      <c r="P28" s="30"/>
      <c r="Q28" s="30"/>
      <c r="R28" s="34"/>
      <c r="S28" s="34"/>
      <c r="T28" s="33"/>
      <c r="U28" s="34"/>
      <c r="V28" s="34"/>
      <c r="W28" s="34"/>
      <c r="X28" s="34"/>
      <c r="Y28" s="34"/>
      <c r="Z28" s="34"/>
    </row>
    <row r="29">
      <c r="A29" s="35"/>
      <c r="B29" s="30"/>
      <c r="C29" s="30"/>
      <c r="D29" s="30"/>
      <c r="E29" s="36"/>
      <c r="F29" s="30"/>
      <c r="G29" s="34"/>
      <c r="H29" s="33"/>
      <c r="I29" s="30"/>
      <c r="J29" s="30"/>
      <c r="K29" s="34"/>
      <c r="L29" s="34"/>
      <c r="M29" s="33"/>
      <c r="N29" s="34"/>
      <c r="O29" s="30"/>
      <c r="P29" s="30"/>
      <c r="Q29" s="30"/>
      <c r="R29" s="34"/>
      <c r="S29" s="34"/>
      <c r="T29" s="33"/>
      <c r="U29" s="34"/>
      <c r="V29" s="34"/>
      <c r="W29" s="34"/>
      <c r="X29" s="34"/>
      <c r="Y29" s="34"/>
      <c r="Z29" s="34"/>
    </row>
    <row r="30">
      <c r="A30" s="35"/>
      <c r="B30" s="30"/>
      <c r="C30" s="30"/>
      <c r="D30" s="30"/>
      <c r="E30" s="36"/>
      <c r="F30" s="30"/>
      <c r="G30" s="34"/>
      <c r="H30" s="33"/>
      <c r="I30" s="30"/>
      <c r="J30" s="30"/>
      <c r="K30" s="34"/>
      <c r="L30" s="34"/>
      <c r="M30" s="33"/>
      <c r="N30" s="34"/>
      <c r="O30" s="30"/>
      <c r="P30" s="30"/>
      <c r="Q30" s="30"/>
      <c r="R30" s="34"/>
      <c r="S30" s="34"/>
      <c r="T30" s="33"/>
      <c r="U30" s="34"/>
      <c r="V30" s="34"/>
      <c r="W30" s="34"/>
      <c r="X30" s="34"/>
      <c r="Y30" s="34"/>
      <c r="Z30" s="34"/>
    </row>
    <row r="31">
      <c r="A31" s="35"/>
      <c r="B31" s="30"/>
      <c r="C31" s="30"/>
      <c r="D31" s="30"/>
      <c r="E31" s="36"/>
      <c r="F31" s="30"/>
      <c r="G31" s="34"/>
      <c r="H31" s="33"/>
      <c r="I31" s="30"/>
      <c r="J31" s="30"/>
      <c r="K31" s="34"/>
      <c r="L31" s="34"/>
      <c r="M31" s="33"/>
      <c r="N31" s="34"/>
      <c r="O31" s="30"/>
      <c r="P31" s="30"/>
      <c r="Q31" s="30"/>
      <c r="R31" s="34"/>
      <c r="S31" s="34"/>
      <c r="T31" s="33"/>
      <c r="U31" s="34"/>
      <c r="V31" s="34"/>
      <c r="W31" s="34"/>
      <c r="X31" s="34"/>
      <c r="Y31" s="34"/>
      <c r="Z31" s="34"/>
    </row>
    <row r="32">
      <c r="A32" s="35"/>
      <c r="B32" s="30"/>
      <c r="C32" s="30"/>
      <c r="D32" s="30"/>
      <c r="E32" s="36"/>
      <c r="F32" s="30"/>
      <c r="G32" s="34"/>
      <c r="H32" s="33"/>
      <c r="I32" s="30"/>
      <c r="J32" s="30"/>
      <c r="K32" s="34"/>
      <c r="L32" s="34"/>
      <c r="M32" s="33"/>
      <c r="N32" s="34"/>
      <c r="O32" s="30"/>
      <c r="P32" s="30"/>
      <c r="Q32" s="30"/>
      <c r="R32" s="34"/>
      <c r="S32" s="34"/>
      <c r="T32" s="33"/>
      <c r="U32" s="34"/>
      <c r="V32" s="34"/>
      <c r="W32" s="34"/>
      <c r="X32" s="34"/>
      <c r="Y32" s="34"/>
      <c r="Z32" s="34"/>
    </row>
    <row r="33">
      <c r="A33" s="37"/>
      <c r="B33" s="5"/>
      <c r="C33" s="5"/>
      <c r="D33" s="5"/>
      <c r="E33" s="9"/>
      <c r="F33" s="5"/>
      <c r="H33" s="28"/>
      <c r="I33" s="5"/>
      <c r="J33" s="5"/>
      <c r="M33" s="28"/>
      <c r="O33" s="25"/>
      <c r="P33" s="25"/>
      <c r="Q33" s="25"/>
      <c r="R33" s="10"/>
      <c r="S33" s="10"/>
      <c r="T33" s="14"/>
    </row>
    <row r="34">
      <c r="A34" s="37"/>
      <c r="B34" s="5"/>
      <c r="C34" s="5"/>
      <c r="D34" s="5"/>
      <c r="E34" s="9"/>
      <c r="F34" s="5"/>
      <c r="H34" s="28"/>
      <c r="I34" s="5"/>
      <c r="J34" s="5"/>
      <c r="M34" s="28"/>
      <c r="O34" s="25"/>
      <c r="P34" s="25"/>
      <c r="Q34" s="25"/>
      <c r="R34" s="10"/>
      <c r="S34" s="10"/>
      <c r="T34" s="14"/>
    </row>
    <row r="35">
      <c r="A35" s="37"/>
      <c r="B35" s="5"/>
      <c r="C35" s="5"/>
      <c r="D35" s="5"/>
      <c r="E35" s="9"/>
      <c r="F35" s="5"/>
      <c r="H35" s="28"/>
      <c r="I35" s="5"/>
      <c r="J35" s="5"/>
      <c r="M35" s="28"/>
      <c r="O35" s="25"/>
      <c r="P35" s="25"/>
      <c r="Q35" s="25"/>
      <c r="R35" s="10"/>
      <c r="S35" s="10"/>
      <c r="T35" s="14"/>
    </row>
    <row r="36">
      <c r="A36" s="37"/>
      <c r="B36" s="5"/>
      <c r="C36" s="5"/>
      <c r="D36" s="5"/>
      <c r="E36" s="9"/>
      <c r="F36" s="5"/>
      <c r="H36" s="28"/>
      <c r="I36" s="5"/>
      <c r="J36" s="5"/>
      <c r="M36" s="28"/>
      <c r="O36" s="25"/>
      <c r="P36" s="25"/>
      <c r="Q36" s="25"/>
      <c r="R36" s="10"/>
      <c r="S36" s="10"/>
      <c r="T36" s="14"/>
    </row>
    <row r="37">
      <c r="A37" s="37"/>
      <c r="B37" s="5"/>
      <c r="C37" s="5"/>
      <c r="D37" s="5"/>
      <c r="E37" s="9"/>
      <c r="F37" s="5"/>
      <c r="H37" s="28"/>
      <c r="I37" s="5"/>
      <c r="J37" s="5"/>
      <c r="M37" s="28"/>
      <c r="O37" s="25"/>
      <c r="P37" s="25"/>
      <c r="Q37" s="25"/>
      <c r="R37" s="10"/>
      <c r="S37" s="10"/>
      <c r="T37" s="14"/>
    </row>
    <row r="38">
      <c r="A38" s="37"/>
      <c r="B38" s="5"/>
      <c r="C38" s="5"/>
      <c r="D38" s="5"/>
      <c r="E38" s="9"/>
      <c r="F38" s="5"/>
      <c r="H38" s="28"/>
      <c r="I38" s="5"/>
      <c r="J38" s="5"/>
      <c r="M38" s="28"/>
      <c r="O38" s="25"/>
      <c r="P38" s="25"/>
      <c r="Q38" s="25"/>
      <c r="R38" s="10"/>
      <c r="S38" s="10"/>
      <c r="T38" s="14"/>
    </row>
    <row r="39">
      <c r="A39" s="37"/>
      <c r="B39" s="5"/>
      <c r="C39" s="5"/>
      <c r="D39" s="5"/>
      <c r="E39" s="9"/>
      <c r="F39" s="5"/>
      <c r="H39" s="28"/>
      <c r="I39" s="5"/>
      <c r="J39" s="5"/>
      <c r="M39" s="28"/>
      <c r="O39" s="25"/>
      <c r="P39" s="25"/>
      <c r="Q39" s="25"/>
      <c r="R39" s="10"/>
      <c r="S39" s="10"/>
      <c r="T39" s="14"/>
    </row>
    <row r="40">
      <c r="A40" s="37"/>
      <c r="B40" s="5"/>
      <c r="C40" s="5"/>
      <c r="D40" s="5"/>
      <c r="E40" s="9"/>
      <c r="F40" s="5"/>
      <c r="H40" s="28"/>
      <c r="I40" s="5"/>
      <c r="J40" s="5"/>
      <c r="M40" s="28"/>
      <c r="O40" s="25"/>
      <c r="P40" s="25"/>
      <c r="Q40" s="25"/>
      <c r="R40" s="10"/>
      <c r="S40" s="10"/>
      <c r="T40" s="14"/>
    </row>
    <row r="41">
      <c r="A41" s="37"/>
      <c r="B41" s="5"/>
      <c r="C41" s="5"/>
      <c r="D41" s="5"/>
      <c r="E41" s="9"/>
      <c r="F41" s="5"/>
      <c r="H41" s="28"/>
      <c r="I41" s="5"/>
      <c r="J41" s="5"/>
      <c r="M41" s="28"/>
      <c r="O41" s="25"/>
      <c r="P41" s="25"/>
      <c r="Q41" s="25"/>
      <c r="R41" s="10"/>
      <c r="S41" s="10"/>
      <c r="T41" s="14"/>
    </row>
    <row r="42">
      <c r="A42" s="37"/>
      <c r="B42" s="5"/>
      <c r="C42" s="5"/>
      <c r="D42" s="5"/>
      <c r="E42" s="9"/>
      <c r="F42" s="5"/>
      <c r="H42" s="28"/>
      <c r="I42" s="5"/>
      <c r="J42" s="5"/>
      <c r="M42" s="28"/>
      <c r="O42" s="25"/>
      <c r="P42" s="25"/>
      <c r="Q42" s="25"/>
      <c r="R42" s="10"/>
      <c r="S42" s="10"/>
      <c r="T42" s="14"/>
    </row>
    <row r="43">
      <c r="A43" s="37"/>
      <c r="B43" s="5"/>
      <c r="C43" s="5"/>
      <c r="D43" s="5"/>
      <c r="E43" s="9"/>
      <c r="F43" s="5"/>
      <c r="H43" s="28"/>
      <c r="I43" s="5"/>
      <c r="J43" s="5"/>
      <c r="M43" s="28"/>
      <c r="O43" s="25"/>
      <c r="P43" s="25"/>
      <c r="Q43" s="25"/>
      <c r="R43" s="10"/>
      <c r="S43" s="10"/>
      <c r="T43" s="14"/>
    </row>
    <row r="44">
      <c r="A44" s="37"/>
      <c r="B44" s="5"/>
      <c r="C44" s="5"/>
      <c r="D44" s="5"/>
      <c r="E44" s="9"/>
      <c r="F44" s="5"/>
      <c r="H44" s="28"/>
      <c r="I44" s="5"/>
      <c r="J44" s="5"/>
      <c r="M44" s="28"/>
      <c r="O44" s="25"/>
      <c r="P44" s="25"/>
      <c r="Q44" s="25"/>
      <c r="R44" s="10"/>
      <c r="S44" s="10"/>
      <c r="T44" s="14"/>
    </row>
    <row r="45">
      <c r="A45" s="37"/>
      <c r="B45" s="5"/>
      <c r="C45" s="5"/>
      <c r="D45" s="5"/>
      <c r="E45" s="9"/>
      <c r="F45" s="5"/>
      <c r="H45" s="28"/>
      <c r="I45" s="5"/>
      <c r="J45" s="5"/>
      <c r="M45" s="28"/>
      <c r="O45" s="25"/>
      <c r="P45" s="25"/>
      <c r="Q45" s="25"/>
      <c r="R45" s="10"/>
      <c r="S45" s="10"/>
      <c r="T45" s="14"/>
    </row>
    <row r="46">
      <c r="A46" s="37"/>
      <c r="B46" s="5"/>
      <c r="C46" s="5"/>
      <c r="D46" s="5"/>
      <c r="E46" s="9"/>
      <c r="F46" s="5"/>
      <c r="H46" s="28"/>
      <c r="I46" s="5"/>
      <c r="J46" s="5"/>
      <c r="M46" s="28"/>
      <c r="O46" s="25"/>
      <c r="P46" s="25"/>
      <c r="Q46" s="25"/>
      <c r="R46" s="10"/>
      <c r="S46" s="10"/>
      <c r="T46" s="14"/>
    </row>
    <row r="47">
      <c r="A47" s="37"/>
      <c r="B47" s="5"/>
      <c r="C47" s="5"/>
      <c r="D47" s="5"/>
      <c r="E47" s="9"/>
      <c r="F47" s="5"/>
      <c r="H47" s="28"/>
      <c r="I47" s="5"/>
      <c r="J47" s="5"/>
      <c r="M47" s="28"/>
      <c r="O47" s="25"/>
      <c r="P47" s="25"/>
      <c r="Q47" s="25"/>
      <c r="R47" s="10"/>
      <c r="S47" s="10"/>
      <c r="T47" s="14"/>
    </row>
    <row r="48">
      <c r="A48" s="37"/>
      <c r="B48" s="5"/>
      <c r="C48" s="5"/>
      <c r="D48" s="5"/>
      <c r="E48" s="9"/>
      <c r="F48" s="5"/>
      <c r="H48" s="28"/>
      <c r="I48" s="5"/>
      <c r="J48" s="5"/>
      <c r="M48" s="28"/>
      <c r="O48" s="25"/>
      <c r="P48" s="25"/>
      <c r="Q48" s="25"/>
      <c r="R48" s="10"/>
      <c r="S48" s="10"/>
      <c r="T48" s="14"/>
    </row>
    <row r="49">
      <c r="A49" s="37"/>
      <c r="B49" s="5"/>
      <c r="C49" s="5"/>
      <c r="D49" s="5"/>
      <c r="E49" s="9"/>
      <c r="F49" s="5"/>
      <c r="H49" s="28"/>
      <c r="I49" s="5"/>
      <c r="J49" s="5"/>
      <c r="M49" s="28"/>
      <c r="O49" s="25"/>
      <c r="P49" s="25"/>
      <c r="Q49" s="25"/>
      <c r="R49" s="10"/>
      <c r="S49" s="10"/>
      <c r="T49" s="14"/>
    </row>
    <row r="50">
      <c r="A50" s="37"/>
      <c r="B50" s="5"/>
      <c r="C50" s="5"/>
      <c r="D50" s="5"/>
      <c r="E50" s="9"/>
      <c r="F50" s="5"/>
      <c r="H50" s="28"/>
      <c r="I50" s="5"/>
      <c r="J50" s="5"/>
      <c r="M50" s="28"/>
      <c r="O50" s="25"/>
      <c r="P50" s="25"/>
      <c r="Q50" s="25"/>
      <c r="R50" s="10"/>
      <c r="S50" s="10"/>
      <c r="T50" s="14"/>
    </row>
    <row r="51">
      <c r="A51" s="37"/>
      <c r="B51" s="5"/>
      <c r="C51" s="5"/>
      <c r="D51" s="5"/>
      <c r="E51" s="9"/>
      <c r="F51" s="5"/>
      <c r="H51" s="28"/>
      <c r="I51" s="5"/>
      <c r="J51" s="5"/>
      <c r="M51" s="28"/>
      <c r="O51" s="25"/>
      <c r="P51" s="25"/>
      <c r="Q51" s="25"/>
      <c r="R51" s="10"/>
      <c r="S51" s="10"/>
      <c r="T51" s="14"/>
    </row>
    <row r="52">
      <c r="A52" s="37"/>
      <c r="B52" s="5"/>
      <c r="C52" s="5"/>
      <c r="D52" s="5"/>
      <c r="E52" s="9"/>
      <c r="F52" s="5"/>
      <c r="H52" s="28"/>
      <c r="I52" s="5"/>
      <c r="J52" s="5"/>
      <c r="M52" s="28"/>
      <c r="O52" s="25"/>
      <c r="P52" s="25"/>
      <c r="Q52" s="25"/>
      <c r="R52" s="10"/>
      <c r="S52" s="10"/>
      <c r="T52" s="14"/>
    </row>
    <row r="53">
      <c r="A53" s="37"/>
      <c r="B53" s="5"/>
      <c r="C53" s="5"/>
      <c r="D53" s="5"/>
      <c r="E53" s="9"/>
      <c r="F53" s="5"/>
      <c r="H53" s="28"/>
      <c r="I53" s="5"/>
      <c r="J53" s="5"/>
      <c r="M53" s="28"/>
      <c r="O53" s="25"/>
      <c r="P53" s="25"/>
      <c r="Q53" s="25"/>
      <c r="R53" s="10"/>
      <c r="S53" s="10"/>
      <c r="T53" s="14"/>
    </row>
    <row r="54">
      <c r="A54" s="37"/>
      <c r="B54" s="5"/>
      <c r="C54" s="5"/>
      <c r="D54" s="5"/>
      <c r="E54" s="9"/>
      <c r="F54" s="5"/>
      <c r="H54" s="28"/>
      <c r="I54" s="5"/>
      <c r="J54" s="5"/>
      <c r="M54" s="28"/>
      <c r="O54" s="25"/>
      <c r="P54" s="25"/>
      <c r="Q54" s="25"/>
      <c r="R54" s="10"/>
      <c r="S54" s="10"/>
      <c r="T54" s="14"/>
    </row>
    <row r="55">
      <c r="A55" s="37"/>
      <c r="B55" s="5"/>
      <c r="C55" s="5"/>
      <c r="D55" s="5"/>
      <c r="E55" s="9"/>
      <c r="F55" s="5"/>
      <c r="H55" s="28"/>
      <c r="I55" s="5"/>
      <c r="J55" s="5"/>
      <c r="M55" s="28"/>
      <c r="O55" s="25"/>
      <c r="P55" s="25"/>
      <c r="Q55" s="25"/>
      <c r="R55" s="10"/>
      <c r="S55" s="10"/>
      <c r="T55" s="14"/>
    </row>
    <row r="56">
      <c r="A56" s="37"/>
      <c r="B56" s="5"/>
      <c r="C56" s="5"/>
      <c r="D56" s="5"/>
      <c r="E56" s="9"/>
      <c r="F56" s="5"/>
      <c r="H56" s="28"/>
      <c r="I56" s="5"/>
      <c r="J56" s="5"/>
      <c r="M56" s="28"/>
      <c r="O56" s="25"/>
      <c r="P56" s="25"/>
      <c r="Q56" s="25"/>
      <c r="R56" s="10"/>
      <c r="S56" s="10"/>
      <c r="T56" s="14"/>
    </row>
    <row r="57">
      <c r="A57" s="37"/>
      <c r="B57" s="5"/>
      <c r="C57" s="5"/>
      <c r="D57" s="5"/>
      <c r="E57" s="9"/>
      <c r="F57" s="5"/>
      <c r="H57" s="28"/>
      <c r="I57" s="5"/>
      <c r="J57" s="5"/>
      <c r="M57" s="28"/>
      <c r="O57" s="25"/>
      <c r="P57" s="25"/>
      <c r="Q57" s="25"/>
      <c r="R57" s="10"/>
      <c r="S57" s="10"/>
      <c r="T57" s="14"/>
    </row>
    <row r="58">
      <c r="A58" s="37"/>
      <c r="B58" s="5"/>
      <c r="C58" s="5"/>
      <c r="D58" s="5"/>
      <c r="E58" s="9"/>
      <c r="F58" s="5"/>
      <c r="H58" s="28"/>
      <c r="I58" s="5"/>
      <c r="J58" s="5"/>
      <c r="M58" s="28"/>
      <c r="O58" s="25"/>
      <c r="P58" s="25"/>
      <c r="Q58" s="25"/>
      <c r="R58" s="10"/>
      <c r="S58" s="10"/>
      <c r="T58" s="14"/>
    </row>
    <row r="59">
      <c r="A59" s="37"/>
      <c r="B59" s="5"/>
      <c r="C59" s="5"/>
      <c r="D59" s="5"/>
      <c r="E59" s="9"/>
      <c r="F59" s="5"/>
      <c r="H59" s="28"/>
      <c r="I59" s="5"/>
      <c r="J59" s="5"/>
      <c r="M59" s="28"/>
      <c r="O59" s="25"/>
      <c r="P59" s="25"/>
      <c r="Q59" s="25"/>
      <c r="R59" s="10"/>
      <c r="S59" s="10"/>
      <c r="T59" s="14"/>
    </row>
    <row r="60">
      <c r="A60" s="37"/>
      <c r="B60" s="5"/>
      <c r="C60" s="5"/>
      <c r="D60" s="5"/>
      <c r="E60" s="9"/>
      <c r="F60" s="5"/>
      <c r="H60" s="28"/>
      <c r="I60" s="5"/>
      <c r="J60" s="5"/>
      <c r="M60" s="28"/>
      <c r="O60" s="25"/>
      <c r="P60" s="25"/>
      <c r="Q60" s="25"/>
      <c r="R60" s="10"/>
      <c r="S60" s="10"/>
      <c r="T60" s="14"/>
    </row>
    <row r="61">
      <c r="A61" s="37"/>
      <c r="B61" s="5"/>
      <c r="C61" s="5"/>
      <c r="D61" s="5"/>
      <c r="E61" s="9"/>
      <c r="F61" s="5"/>
      <c r="H61" s="28"/>
      <c r="I61" s="5"/>
      <c r="J61" s="5"/>
      <c r="M61" s="28"/>
      <c r="O61" s="25"/>
      <c r="P61" s="25"/>
      <c r="Q61" s="25"/>
      <c r="R61" s="10"/>
      <c r="S61" s="10"/>
      <c r="T61" s="14"/>
    </row>
    <row r="62">
      <c r="A62" s="37"/>
      <c r="B62" s="5"/>
      <c r="C62" s="5"/>
      <c r="D62" s="5"/>
      <c r="E62" s="9"/>
      <c r="F62" s="5"/>
      <c r="H62" s="28"/>
      <c r="I62" s="5"/>
      <c r="J62" s="5"/>
      <c r="M62" s="28"/>
      <c r="O62" s="25"/>
      <c r="P62" s="25"/>
      <c r="Q62" s="25"/>
      <c r="R62" s="10"/>
      <c r="S62" s="10"/>
      <c r="T62" s="14"/>
    </row>
    <row r="63">
      <c r="A63" s="37"/>
      <c r="B63" s="5"/>
      <c r="C63" s="5"/>
      <c r="D63" s="5"/>
      <c r="E63" s="9"/>
      <c r="F63" s="5"/>
      <c r="H63" s="28"/>
      <c r="I63" s="5"/>
      <c r="J63" s="5"/>
      <c r="M63" s="28"/>
      <c r="O63" s="25"/>
      <c r="P63" s="25"/>
      <c r="Q63" s="25"/>
      <c r="R63" s="10"/>
      <c r="S63" s="10"/>
      <c r="T63" s="14"/>
    </row>
    <row r="64">
      <c r="A64" s="37"/>
      <c r="B64" s="5"/>
      <c r="C64" s="5"/>
      <c r="D64" s="5"/>
      <c r="E64" s="9"/>
      <c r="F64" s="5"/>
      <c r="H64" s="28"/>
      <c r="I64" s="5"/>
      <c r="J64" s="5"/>
      <c r="M64" s="28"/>
      <c r="O64" s="25"/>
      <c r="P64" s="25"/>
      <c r="Q64" s="25"/>
      <c r="R64" s="10"/>
      <c r="S64" s="10"/>
      <c r="T64" s="14"/>
    </row>
    <row r="65">
      <c r="A65" s="37"/>
      <c r="B65" s="5"/>
      <c r="C65" s="5"/>
      <c r="D65" s="5"/>
      <c r="E65" s="9"/>
      <c r="F65" s="5"/>
      <c r="H65" s="28"/>
      <c r="I65" s="5"/>
      <c r="J65" s="5"/>
      <c r="M65" s="28"/>
      <c r="O65" s="25"/>
      <c r="P65" s="25"/>
      <c r="Q65" s="25"/>
      <c r="R65" s="10"/>
      <c r="S65" s="10"/>
      <c r="T65" s="14"/>
    </row>
    <row r="66">
      <c r="A66" s="37"/>
      <c r="B66" s="5"/>
      <c r="C66" s="5"/>
      <c r="D66" s="5"/>
      <c r="E66" s="9"/>
      <c r="F66" s="5"/>
      <c r="H66" s="28"/>
      <c r="I66" s="5"/>
      <c r="J66" s="5"/>
      <c r="M66" s="28"/>
      <c r="O66" s="25"/>
      <c r="P66" s="25"/>
      <c r="Q66" s="25"/>
      <c r="R66" s="10"/>
      <c r="S66" s="10"/>
      <c r="T66" s="14"/>
    </row>
    <row r="67">
      <c r="A67" s="37"/>
      <c r="B67" s="5"/>
      <c r="C67" s="5"/>
      <c r="D67" s="5"/>
      <c r="E67" s="9"/>
      <c r="F67" s="5"/>
      <c r="H67" s="28"/>
      <c r="I67" s="5"/>
      <c r="J67" s="5"/>
      <c r="M67" s="28"/>
      <c r="O67" s="25"/>
      <c r="P67" s="25"/>
      <c r="Q67" s="25"/>
      <c r="R67" s="10"/>
      <c r="S67" s="10"/>
      <c r="T67" s="14"/>
    </row>
    <row r="68">
      <c r="A68" s="37"/>
      <c r="B68" s="5"/>
      <c r="C68" s="5"/>
      <c r="D68" s="5"/>
      <c r="E68" s="9"/>
      <c r="F68" s="5"/>
      <c r="H68" s="28"/>
      <c r="I68" s="5"/>
      <c r="J68" s="5"/>
      <c r="M68" s="28"/>
      <c r="O68" s="25"/>
      <c r="P68" s="25"/>
      <c r="Q68" s="25"/>
      <c r="R68" s="10"/>
      <c r="S68" s="10"/>
      <c r="T68" s="14"/>
    </row>
    <row r="69">
      <c r="A69" s="37"/>
      <c r="B69" s="5"/>
      <c r="C69" s="5"/>
      <c r="D69" s="5"/>
      <c r="E69" s="9"/>
      <c r="F69" s="5"/>
      <c r="H69" s="28"/>
      <c r="I69" s="5"/>
      <c r="J69" s="5"/>
      <c r="M69" s="28"/>
      <c r="O69" s="25"/>
      <c r="P69" s="25"/>
      <c r="Q69" s="25"/>
      <c r="R69" s="10"/>
      <c r="S69" s="10"/>
      <c r="T69" s="14"/>
    </row>
    <row r="70">
      <c r="A70" s="37"/>
      <c r="B70" s="5"/>
      <c r="C70" s="5"/>
      <c r="D70" s="5"/>
      <c r="E70" s="9"/>
      <c r="F70" s="5"/>
      <c r="H70" s="28"/>
      <c r="I70" s="5"/>
      <c r="J70" s="5"/>
      <c r="M70" s="28"/>
      <c r="O70" s="25"/>
      <c r="P70" s="25"/>
      <c r="Q70" s="25"/>
      <c r="R70" s="10"/>
      <c r="S70" s="10"/>
      <c r="T70" s="14"/>
    </row>
    <row r="71">
      <c r="A71" s="37"/>
      <c r="B71" s="5"/>
      <c r="C71" s="5"/>
      <c r="D71" s="5"/>
      <c r="E71" s="9"/>
      <c r="F71" s="5"/>
      <c r="H71" s="28"/>
      <c r="I71" s="5"/>
      <c r="J71" s="5"/>
      <c r="M71" s="28"/>
      <c r="O71" s="25"/>
      <c r="P71" s="25"/>
      <c r="Q71" s="25"/>
      <c r="R71" s="10"/>
      <c r="S71" s="10"/>
      <c r="T71" s="14"/>
    </row>
    <row r="72">
      <c r="A72" s="37"/>
      <c r="B72" s="5"/>
      <c r="C72" s="5"/>
      <c r="D72" s="5"/>
      <c r="E72" s="9"/>
      <c r="F72" s="5"/>
      <c r="H72" s="28"/>
      <c r="I72" s="5"/>
      <c r="J72" s="5"/>
      <c r="M72" s="28"/>
      <c r="O72" s="25"/>
      <c r="P72" s="25"/>
      <c r="Q72" s="25"/>
      <c r="R72" s="10"/>
      <c r="S72" s="10"/>
      <c r="T72" s="14"/>
    </row>
    <row r="73">
      <c r="A73" s="37"/>
      <c r="B73" s="5"/>
      <c r="C73" s="5"/>
      <c r="D73" s="5"/>
      <c r="E73" s="9"/>
      <c r="F73" s="5"/>
      <c r="H73" s="28"/>
      <c r="I73" s="5"/>
      <c r="J73" s="5"/>
      <c r="M73" s="28"/>
      <c r="O73" s="25"/>
      <c r="P73" s="25"/>
      <c r="Q73" s="25"/>
      <c r="R73" s="10"/>
      <c r="S73" s="10"/>
      <c r="T73" s="14"/>
    </row>
    <row r="74">
      <c r="A74" s="37"/>
      <c r="B74" s="5"/>
      <c r="C74" s="5"/>
      <c r="D74" s="5"/>
      <c r="E74" s="9"/>
      <c r="F74" s="5"/>
      <c r="H74" s="28"/>
      <c r="I74" s="5"/>
      <c r="J74" s="5"/>
      <c r="M74" s="28"/>
      <c r="O74" s="25"/>
      <c r="P74" s="25"/>
      <c r="Q74" s="25"/>
      <c r="R74" s="10"/>
      <c r="S74" s="10"/>
      <c r="T74" s="14"/>
    </row>
    <row r="75">
      <c r="A75" s="37"/>
      <c r="B75" s="5"/>
      <c r="C75" s="5"/>
      <c r="D75" s="5"/>
      <c r="E75" s="9"/>
      <c r="F75" s="5"/>
      <c r="H75" s="28"/>
      <c r="I75" s="5"/>
      <c r="J75" s="5"/>
      <c r="M75" s="28"/>
      <c r="O75" s="25"/>
      <c r="P75" s="25"/>
      <c r="Q75" s="25"/>
      <c r="R75" s="10"/>
      <c r="S75" s="10"/>
      <c r="T75" s="14"/>
    </row>
    <row r="76">
      <c r="A76" s="37"/>
      <c r="B76" s="5"/>
      <c r="C76" s="5"/>
      <c r="D76" s="5"/>
      <c r="E76" s="9"/>
      <c r="F76" s="5"/>
      <c r="H76" s="28"/>
      <c r="I76" s="5"/>
      <c r="J76" s="5"/>
      <c r="M76" s="28"/>
      <c r="O76" s="25"/>
      <c r="P76" s="25"/>
      <c r="Q76" s="25"/>
      <c r="R76" s="10"/>
      <c r="S76" s="10"/>
      <c r="T76" s="14"/>
    </row>
    <row r="77">
      <c r="A77" s="37"/>
      <c r="B77" s="5"/>
      <c r="C77" s="5"/>
      <c r="D77" s="5"/>
      <c r="E77" s="9"/>
      <c r="F77" s="5"/>
      <c r="H77" s="28"/>
      <c r="I77" s="5"/>
      <c r="J77" s="5"/>
      <c r="M77" s="28"/>
      <c r="O77" s="25"/>
      <c r="P77" s="25"/>
      <c r="Q77" s="25"/>
      <c r="R77" s="10"/>
      <c r="S77" s="10"/>
      <c r="T77" s="14"/>
    </row>
    <row r="78">
      <c r="A78" s="37"/>
      <c r="B78" s="5"/>
      <c r="C78" s="5"/>
      <c r="D78" s="5"/>
      <c r="E78" s="9"/>
      <c r="F78" s="5"/>
      <c r="H78" s="28"/>
      <c r="I78" s="5"/>
      <c r="J78" s="5"/>
      <c r="M78" s="28"/>
      <c r="O78" s="25"/>
      <c r="P78" s="25"/>
      <c r="Q78" s="25"/>
      <c r="R78" s="10"/>
      <c r="S78" s="10"/>
      <c r="T78" s="14"/>
    </row>
    <row r="79">
      <c r="A79" s="37"/>
      <c r="B79" s="5"/>
      <c r="C79" s="5"/>
      <c r="D79" s="5"/>
      <c r="E79" s="9"/>
      <c r="F79" s="5"/>
      <c r="H79" s="28"/>
      <c r="I79" s="5"/>
      <c r="J79" s="5"/>
      <c r="M79" s="28"/>
      <c r="O79" s="25"/>
      <c r="P79" s="25"/>
      <c r="Q79" s="25"/>
      <c r="R79" s="10"/>
      <c r="S79" s="10"/>
      <c r="T79" s="14"/>
    </row>
    <row r="80">
      <c r="A80" s="37"/>
      <c r="B80" s="5"/>
      <c r="C80" s="5"/>
      <c r="D80" s="5"/>
      <c r="E80" s="9"/>
      <c r="F80" s="5"/>
      <c r="H80" s="28"/>
      <c r="I80" s="5"/>
      <c r="J80" s="5"/>
      <c r="M80" s="28"/>
      <c r="O80" s="25"/>
      <c r="P80" s="25"/>
      <c r="Q80" s="25"/>
      <c r="R80" s="10"/>
      <c r="S80" s="10"/>
      <c r="T80" s="14"/>
    </row>
    <row r="81">
      <c r="A81" s="37"/>
      <c r="B81" s="5"/>
      <c r="C81" s="5"/>
      <c r="D81" s="5"/>
      <c r="E81" s="9"/>
      <c r="F81" s="5"/>
      <c r="H81" s="28"/>
      <c r="I81" s="5"/>
      <c r="J81" s="5"/>
      <c r="M81" s="28"/>
      <c r="O81" s="25"/>
      <c r="P81" s="25"/>
      <c r="Q81" s="25"/>
      <c r="R81" s="10"/>
      <c r="S81" s="10"/>
      <c r="T81" s="14"/>
    </row>
    <row r="82">
      <c r="A82" s="37"/>
      <c r="B82" s="5"/>
      <c r="C82" s="5"/>
      <c r="D82" s="5"/>
      <c r="E82" s="9"/>
      <c r="F82" s="5"/>
      <c r="H82" s="28"/>
      <c r="I82" s="5"/>
      <c r="J82" s="5"/>
      <c r="M82" s="28"/>
      <c r="O82" s="25"/>
      <c r="P82" s="25"/>
      <c r="Q82" s="25"/>
      <c r="R82" s="10"/>
      <c r="S82" s="10"/>
      <c r="T82" s="14"/>
    </row>
    <row r="83">
      <c r="A83" s="37"/>
      <c r="B83" s="5"/>
      <c r="C83" s="5"/>
      <c r="D83" s="5"/>
      <c r="E83" s="9"/>
      <c r="F83" s="5"/>
      <c r="H83" s="28"/>
      <c r="I83" s="5"/>
      <c r="J83" s="5"/>
      <c r="M83" s="28"/>
      <c r="O83" s="25"/>
      <c r="P83" s="25"/>
      <c r="Q83" s="25"/>
      <c r="R83" s="10"/>
      <c r="S83" s="10"/>
      <c r="T83" s="14"/>
    </row>
    <row r="84">
      <c r="A84" s="37"/>
      <c r="B84" s="5"/>
      <c r="C84" s="5"/>
      <c r="D84" s="5"/>
      <c r="E84" s="9"/>
      <c r="F84" s="5"/>
      <c r="H84" s="28"/>
      <c r="I84" s="5"/>
      <c r="J84" s="5"/>
      <c r="M84" s="28"/>
      <c r="O84" s="25"/>
      <c r="P84" s="25"/>
      <c r="Q84" s="25"/>
      <c r="R84" s="10"/>
      <c r="S84" s="10"/>
      <c r="T84" s="14"/>
    </row>
    <row r="85">
      <c r="A85" s="37"/>
      <c r="B85" s="5"/>
      <c r="C85" s="5"/>
      <c r="D85" s="5"/>
      <c r="E85" s="9"/>
      <c r="F85" s="5"/>
      <c r="H85" s="28"/>
      <c r="I85" s="5"/>
      <c r="J85" s="5"/>
      <c r="M85" s="28"/>
      <c r="O85" s="25"/>
      <c r="P85" s="25"/>
      <c r="Q85" s="25"/>
      <c r="R85" s="10"/>
      <c r="S85" s="10"/>
      <c r="T85" s="14"/>
    </row>
    <row r="86">
      <c r="A86" s="37"/>
      <c r="B86" s="5"/>
      <c r="C86" s="5"/>
      <c r="D86" s="5"/>
      <c r="E86" s="9"/>
      <c r="F86" s="5"/>
      <c r="H86" s="28"/>
      <c r="I86" s="5"/>
      <c r="J86" s="5"/>
      <c r="M86" s="28"/>
      <c r="O86" s="25"/>
      <c r="P86" s="25"/>
      <c r="Q86" s="25"/>
      <c r="R86" s="10"/>
      <c r="S86" s="10"/>
      <c r="T86" s="14"/>
    </row>
    <row r="87">
      <c r="A87" s="37"/>
      <c r="B87" s="5"/>
      <c r="C87" s="5"/>
      <c r="D87" s="5"/>
      <c r="E87" s="9"/>
      <c r="F87" s="5"/>
      <c r="H87" s="28"/>
      <c r="I87" s="5"/>
      <c r="J87" s="5"/>
      <c r="M87" s="28"/>
      <c r="O87" s="25"/>
      <c r="P87" s="25"/>
      <c r="Q87" s="25"/>
      <c r="R87" s="10"/>
      <c r="S87" s="10"/>
      <c r="T87" s="14"/>
    </row>
    <row r="88">
      <c r="A88" s="37"/>
      <c r="B88" s="5"/>
      <c r="C88" s="5"/>
      <c r="D88" s="5"/>
      <c r="E88" s="9"/>
      <c r="F88" s="5"/>
      <c r="H88" s="28"/>
      <c r="I88" s="5"/>
      <c r="J88" s="5"/>
      <c r="M88" s="28"/>
      <c r="O88" s="25"/>
      <c r="P88" s="25"/>
      <c r="Q88" s="25"/>
      <c r="R88" s="10"/>
      <c r="S88" s="10"/>
      <c r="T88" s="14"/>
    </row>
    <row r="89">
      <c r="A89" s="37"/>
      <c r="B89" s="5"/>
      <c r="C89" s="5"/>
      <c r="D89" s="5"/>
      <c r="E89" s="9"/>
      <c r="F89" s="5"/>
      <c r="H89" s="28"/>
      <c r="I89" s="5"/>
      <c r="J89" s="5"/>
      <c r="M89" s="28"/>
      <c r="O89" s="25"/>
      <c r="P89" s="25"/>
      <c r="Q89" s="25"/>
      <c r="R89" s="10"/>
      <c r="S89" s="10"/>
      <c r="T89" s="14"/>
    </row>
    <row r="90">
      <c r="A90" s="37"/>
      <c r="B90" s="5"/>
      <c r="C90" s="5"/>
      <c r="D90" s="5"/>
      <c r="E90" s="9"/>
      <c r="F90" s="5"/>
      <c r="H90" s="28"/>
      <c r="I90" s="5"/>
      <c r="J90" s="5"/>
      <c r="M90" s="28"/>
      <c r="O90" s="25"/>
      <c r="P90" s="25"/>
      <c r="Q90" s="25"/>
      <c r="R90" s="10"/>
      <c r="S90" s="10"/>
      <c r="T90" s="14"/>
    </row>
    <row r="91">
      <c r="A91" s="37"/>
      <c r="B91" s="5"/>
      <c r="C91" s="5"/>
      <c r="D91" s="5"/>
      <c r="E91" s="9"/>
      <c r="F91" s="5"/>
      <c r="H91" s="28"/>
      <c r="I91" s="5"/>
      <c r="J91" s="5"/>
      <c r="M91" s="28"/>
      <c r="O91" s="25"/>
      <c r="P91" s="25"/>
      <c r="Q91" s="25"/>
      <c r="R91" s="10"/>
      <c r="S91" s="10"/>
      <c r="T91" s="14"/>
    </row>
    <row r="92">
      <c r="A92" s="37"/>
      <c r="B92" s="5"/>
      <c r="C92" s="5"/>
      <c r="D92" s="5"/>
      <c r="E92" s="9"/>
      <c r="F92" s="5"/>
      <c r="H92" s="28"/>
      <c r="I92" s="5"/>
      <c r="J92" s="5"/>
      <c r="M92" s="28"/>
      <c r="O92" s="25"/>
      <c r="P92" s="25"/>
      <c r="Q92" s="25"/>
      <c r="R92" s="10"/>
      <c r="S92" s="10"/>
      <c r="T92" s="14"/>
    </row>
    <row r="93">
      <c r="A93" s="37"/>
      <c r="B93" s="5"/>
      <c r="C93" s="5"/>
      <c r="D93" s="5"/>
      <c r="E93" s="9"/>
      <c r="F93" s="5"/>
      <c r="H93" s="28"/>
      <c r="I93" s="5"/>
      <c r="J93" s="5"/>
      <c r="M93" s="28"/>
      <c r="O93" s="25"/>
      <c r="P93" s="25"/>
      <c r="Q93" s="25"/>
      <c r="R93" s="10"/>
      <c r="S93" s="10"/>
      <c r="T93" s="14"/>
    </row>
    <row r="94">
      <c r="A94" s="37"/>
      <c r="B94" s="5"/>
      <c r="C94" s="5"/>
      <c r="D94" s="5"/>
      <c r="E94" s="9"/>
      <c r="F94" s="5"/>
      <c r="H94" s="28"/>
      <c r="I94" s="5"/>
      <c r="J94" s="5"/>
      <c r="M94" s="28"/>
      <c r="O94" s="25"/>
      <c r="P94" s="25"/>
      <c r="Q94" s="25"/>
      <c r="R94" s="10"/>
      <c r="S94" s="10"/>
      <c r="T94" s="14"/>
    </row>
    <row r="95">
      <c r="A95" s="37"/>
      <c r="B95" s="5"/>
      <c r="C95" s="5"/>
      <c r="D95" s="5"/>
      <c r="E95" s="9"/>
      <c r="F95" s="5"/>
      <c r="H95" s="28"/>
      <c r="I95" s="5"/>
      <c r="J95" s="5"/>
      <c r="M95" s="28"/>
      <c r="O95" s="25"/>
      <c r="P95" s="25"/>
      <c r="Q95" s="25"/>
      <c r="R95" s="10"/>
      <c r="S95" s="10"/>
      <c r="T95" s="14"/>
    </row>
    <row r="96">
      <c r="A96" s="37"/>
      <c r="B96" s="5"/>
      <c r="C96" s="5"/>
      <c r="D96" s="5"/>
      <c r="E96" s="9"/>
      <c r="F96" s="5"/>
      <c r="H96" s="28"/>
      <c r="I96" s="5"/>
      <c r="J96" s="5"/>
      <c r="M96" s="28"/>
      <c r="O96" s="25"/>
      <c r="P96" s="25"/>
      <c r="Q96" s="25"/>
      <c r="R96" s="10"/>
      <c r="S96" s="10"/>
      <c r="T96" s="14"/>
    </row>
    <row r="97">
      <c r="A97" s="37"/>
      <c r="B97" s="5"/>
      <c r="C97" s="5"/>
      <c r="D97" s="5"/>
      <c r="E97" s="9"/>
      <c r="F97" s="5"/>
      <c r="H97" s="28"/>
      <c r="I97" s="5"/>
      <c r="J97" s="5"/>
      <c r="M97" s="28"/>
      <c r="O97" s="25"/>
      <c r="P97" s="25"/>
      <c r="Q97" s="25"/>
      <c r="R97" s="10"/>
      <c r="S97" s="10"/>
      <c r="T97" s="14"/>
    </row>
    <row r="98">
      <c r="A98" s="37"/>
      <c r="B98" s="5"/>
      <c r="C98" s="5"/>
      <c r="D98" s="5"/>
      <c r="E98" s="9"/>
      <c r="F98" s="5"/>
      <c r="H98" s="28"/>
      <c r="I98" s="5"/>
      <c r="J98" s="5"/>
      <c r="M98" s="28"/>
      <c r="O98" s="25"/>
      <c r="P98" s="25"/>
      <c r="Q98" s="25"/>
      <c r="R98" s="10"/>
      <c r="S98" s="10"/>
      <c r="T98" s="14"/>
    </row>
    <row r="99">
      <c r="A99" s="37"/>
      <c r="B99" s="5"/>
      <c r="C99" s="5"/>
      <c r="D99" s="5"/>
      <c r="E99" s="9"/>
      <c r="F99" s="5"/>
      <c r="H99" s="28"/>
      <c r="I99" s="5"/>
      <c r="J99" s="5"/>
      <c r="M99" s="28"/>
      <c r="O99" s="25"/>
      <c r="P99" s="25"/>
      <c r="Q99" s="25"/>
      <c r="R99" s="10"/>
      <c r="S99" s="10"/>
      <c r="T99" s="14"/>
    </row>
    <row r="100">
      <c r="A100" s="37"/>
      <c r="B100" s="5"/>
      <c r="C100" s="5"/>
      <c r="D100" s="5"/>
      <c r="E100" s="9"/>
      <c r="F100" s="5"/>
      <c r="H100" s="28"/>
      <c r="I100" s="5"/>
      <c r="J100" s="5"/>
      <c r="M100" s="28"/>
      <c r="O100" s="25"/>
      <c r="P100" s="25"/>
      <c r="Q100" s="25"/>
      <c r="R100" s="10"/>
      <c r="S100" s="10"/>
      <c r="T100" s="14"/>
    </row>
    <row r="101">
      <c r="A101" s="37"/>
      <c r="B101" s="5"/>
      <c r="C101" s="5"/>
      <c r="D101" s="5"/>
      <c r="E101" s="9"/>
      <c r="F101" s="5"/>
      <c r="H101" s="28"/>
      <c r="I101" s="5"/>
      <c r="J101" s="5"/>
      <c r="M101" s="28"/>
      <c r="O101" s="25"/>
      <c r="P101" s="25"/>
      <c r="Q101" s="25"/>
      <c r="R101" s="10"/>
      <c r="S101" s="10"/>
      <c r="T101" s="14"/>
    </row>
    <row r="102">
      <c r="A102" s="37"/>
      <c r="B102" s="5"/>
      <c r="C102" s="5"/>
      <c r="D102" s="5"/>
      <c r="E102" s="9"/>
      <c r="F102" s="5"/>
      <c r="H102" s="28"/>
      <c r="I102" s="5"/>
      <c r="J102" s="5"/>
      <c r="M102" s="28"/>
      <c r="O102" s="25"/>
      <c r="P102" s="25"/>
      <c r="Q102" s="25"/>
      <c r="R102" s="10"/>
      <c r="S102" s="10"/>
      <c r="T102" s="14"/>
    </row>
    <row r="103">
      <c r="A103" s="37"/>
      <c r="B103" s="5"/>
      <c r="C103" s="5"/>
      <c r="D103" s="5"/>
      <c r="E103" s="9"/>
      <c r="F103" s="5"/>
      <c r="H103" s="28"/>
      <c r="I103" s="5"/>
      <c r="J103" s="5"/>
      <c r="M103" s="28"/>
      <c r="O103" s="25"/>
      <c r="P103" s="25"/>
      <c r="Q103" s="25"/>
      <c r="R103" s="10"/>
      <c r="S103" s="10"/>
      <c r="T103" s="14"/>
    </row>
    <row r="104">
      <c r="A104" s="37"/>
      <c r="B104" s="5"/>
      <c r="C104" s="5"/>
      <c r="D104" s="5"/>
      <c r="E104" s="9"/>
      <c r="F104" s="5"/>
      <c r="H104" s="28"/>
      <c r="I104" s="5"/>
      <c r="J104" s="5"/>
      <c r="M104" s="28"/>
      <c r="O104" s="25"/>
      <c r="P104" s="25"/>
      <c r="Q104" s="25"/>
      <c r="R104" s="10"/>
      <c r="S104" s="10"/>
      <c r="T104" s="14"/>
    </row>
    <row r="105">
      <c r="A105" s="37"/>
      <c r="B105" s="5"/>
      <c r="C105" s="5"/>
      <c r="D105" s="5"/>
      <c r="E105" s="9"/>
      <c r="F105" s="5"/>
      <c r="H105" s="28"/>
      <c r="I105" s="5"/>
      <c r="J105" s="5"/>
      <c r="M105" s="28"/>
      <c r="O105" s="25"/>
      <c r="P105" s="25"/>
      <c r="Q105" s="25"/>
      <c r="R105" s="10"/>
      <c r="S105" s="10"/>
      <c r="T105" s="14"/>
    </row>
    <row r="106">
      <c r="A106" s="37"/>
      <c r="B106" s="5"/>
      <c r="C106" s="5"/>
      <c r="D106" s="5"/>
      <c r="E106" s="9"/>
      <c r="F106" s="5"/>
      <c r="H106" s="28"/>
      <c r="I106" s="5"/>
      <c r="J106" s="5"/>
      <c r="M106" s="28"/>
      <c r="O106" s="25"/>
      <c r="P106" s="25"/>
      <c r="Q106" s="25"/>
      <c r="R106" s="10"/>
      <c r="S106" s="10"/>
      <c r="T106" s="14"/>
    </row>
    <row r="107">
      <c r="A107" s="37"/>
      <c r="B107" s="5"/>
      <c r="C107" s="5"/>
      <c r="D107" s="5"/>
      <c r="E107" s="9"/>
      <c r="F107" s="5"/>
      <c r="H107" s="28"/>
      <c r="I107" s="5"/>
      <c r="J107" s="5"/>
      <c r="M107" s="28"/>
      <c r="O107" s="25"/>
      <c r="P107" s="25"/>
      <c r="Q107" s="25"/>
      <c r="R107" s="10"/>
      <c r="S107" s="10"/>
      <c r="T107" s="14"/>
    </row>
    <row r="108">
      <c r="A108" s="37"/>
      <c r="B108" s="5"/>
      <c r="C108" s="5"/>
      <c r="D108" s="5"/>
      <c r="E108" s="9"/>
      <c r="F108" s="5"/>
      <c r="H108" s="28"/>
      <c r="I108" s="5"/>
      <c r="J108" s="5"/>
      <c r="M108" s="28"/>
      <c r="O108" s="25"/>
      <c r="P108" s="25"/>
      <c r="Q108" s="25"/>
      <c r="R108" s="10"/>
      <c r="S108" s="10"/>
      <c r="T108" s="14"/>
    </row>
    <row r="109">
      <c r="A109" s="37"/>
      <c r="B109" s="5"/>
      <c r="C109" s="5"/>
      <c r="D109" s="5"/>
      <c r="E109" s="9"/>
      <c r="F109" s="5"/>
      <c r="H109" s="28"/>
      <c r="I109" s="5"/>
      <c r="J109" s="5"/>
      <c r="M109" s="28"/>
      <c r="O109" s="25"/>
      <c r="P109" s="25"/>
      <c r="Q109" s="25"/>
      <c r="R109" s="10"/>
      <c r="S109" s="10"/>
      <c r="T109" s="14"/>
    </row>
    <row r="110">
      <c r="A110" s="37"/>
      <c r="B110" s="5"/>
      <c r="C110" s="5"/>
      <c r="D110" s="5"/>
      <c r="E110" s="9"/>
      <c r="F110" s="5"/>
      <c r="H110" s="28"/>
      <c r="I110" s="5"/>
      <c r="J110" s="5"/>
      <c r="M110" s="28"/>
      <c r="O110" s="25"/>
      <c r="P110" s="25"/>
      <c r="Q110" s="25"/>
      <c r="R110" s="10"/>
      <c r="S110" s="10"/>
      <c r="T110" s="14"/>
    </row>
    <row r="111">
      <c r="A111" s="37"/>
      <c r="B111" s="5"/>
      <c r="C111" s="5"/>
      <c r="D111" s="5"/>
      <c r="E111" s="9"/>
      <c r="F111" s="5"/>
      <c r="H111" s="28"/>
      <c r="I111" s="5"/>
      <c r="J111" s="5"/>
      <c r="M111" s="28"/>
      <c r="O111" s="25"/>
      <c r="P111" s="25"/>
      <c r="Q111" s="25"/>
      <c r="R111" s="10"/>
      <c r="S111" s="10"/>
      <c r="T111" s="14"/>
    </row>
    <row r="112">
      <c r="A112" s="37"/>
      <c r="B112" s="5"/>
      <c r="C112" s="5"/>
      <c r="D112" s="5"/>
      <c r="E112" s="9"/>
      <c r="F112" s="5"/>
      <c r="H112" s="28"/>
      <c r="I112" s="5"/>
      <c r="J112" s="5"/>
      <c r="M112" s="28"/>
      <c r="O112" s="25"/>
      <c r="P112" s="25"/>
      <c r="Q112" s="25"/>
      <c r="R112" s="10"/>
      <c r="S112" s="10"/>
      <c r="T112" s="14"/>
    </row>
    <row r="113">
      <c r="A113" s="37"/>
      <c r="B113" s="5"/>
      <c r="C113" s="5"/>
      <c r="D113" s="5"/>
      <c r="E113" s="9"/>
      <c r="F113" s="5"/>
      <c r="H113" s="28"/>
      <c r="I113" s="5"/>
      <c r="J113" s="5"/>
      <c r="M113" s="28"/>
      <c r="O113" s="25"/>
      <c r="P113" s="25"/>
      <c r="Q113" s="25"/>
      <c r="R113" s="10"/>
      <c r="S113" s="10"/>
      <c r="T113" s="14"/>
    </row>
    <row r="114">
      <c r="A114" s="37"/>
      <c r="B114" s="5"/>
      <c r="C114" s="5"/>
      <c r="D114" s="5"/>
      <c r="E114" s="9"/>
      <c r="F114" s="5"/>
      <c r="H114" s="28"/>
      <c r="I114" s="5"/>
      <c r="J114" s="5"/>
      <c r="M114" s="28"/>
      <c r="O114" s="25"/>
      <c r="P114" s="25"/>
      <c r="Q114" s="25"/>
      <c r="R114" s="10"/>
      <c r="S114" s="10"/>
      <c r="T114" s="14"/>
    </row>
    <row r="115">
      <c r="A115" s="37"/>
      <c r="B115" s="5"/>
      <c r="C115" s="5"/>
      <c r="D115" s="5"/>
      <c r="E115" s="9"/>
      <c r="F115" s="5"/>
      <c r="H115" s="28"/>
      <c r="I115" s="5"/>
      <c r="J115" s="5"/>
      <c r="M115" s="28"/>
      <c r="O115" s="25"/>
      <c r="P115" s="25"/>
      <c r="Q115" s="25"/>
      <c r="R115" s="10"/>
      <c r="S115" s="10"/>
      <c r="T115" s="14"/>
    </row>
    <row r="116">
      <c r="A116" s="37"/>
      <c r="B116" s="5"/>
      <c r="C116" s="5"/>
      <c r="D116" s="5"/>
      <c r="E116" s="9"/>
      <c r="F116" s="5"/>
      <c r="H116" s="28"/>
      <c r="I116" s="5"/>
      <c r="J116" s="5"/>
      <c r="M116" s="28"/>
      <c r="O116" s="25"/>
      <c r="P116" s="25"/>
      <c r="Q116" s="25"/>
      <c r="R116" s="10"/>
      <c r="S116" s="10"/>
      <c r="T116" s="14"/>
    </row>
    <row r="117">
      <c r="A117" s="37"/>
      <c r="B117" s="5"/>
      <c r="C117" s="5"/>
      <c r="D117" s="5"/>
      <c r="E117" s="9"/>
      <c r="F117" s="5"/>
      <c r="H117" s="28"/>
      <c r="I117" s="5"/>
      <c r="J117" s="5"/>
      <c r="M117" s="28"/>
      <c r="O117" s="25"/>
      <c r="P117" s="25"/>
      <c r="Q117" s="25"/>
      <c r="R117" s="10"/>
      <c r="S117" s="10"/>
      <c r="T117" s="14"/>
    </row>
    <row r="118">
      <c r="A118" s="37"/>
      <c r="B118" s="5"/>
      <c r="C118" s="5"/>
      <c r="D118" s="5"/>
      <c r="E118" s="9"/>
      <c r="F118" s="5"/>
      <c r="H118" s="28"/>
      <c r="I118" s="5"/>
      <c r="J118" s="5"/>
      <c r="M118" s="28"/>
      <c r="O118" s="25"/>
      <c r="P118" s="25"/>
      <c r="Q118" s="25"/>
      <c r="R118" s="10"/>
      <c r="S118" s="10"/>
      <c r="T118" s="14"/>
    </row>
    <row r="119">
      <c r="A119" s="37"/>
      <c r="B119" s="5"/>
      <c r="C119" s="5"/>
      <c r="D119" s="5"/>
      <c r="E119" s="9"/>
      <c r="F119" s="5"/>
      <c r="H119" s="28"/>
      <c r="I119" s="5"/>
      <c r="J119" s="5"/>
      <c r="M119" s="28"/>
      <c r="O119" s="25"/>
      <c r="P119" s="25"/>
      <c r="Q119" s="25"/>
      <c r="R119" s="10"/>
      <c r="S119" s="10"/>
      <c r="T119" s="14"/>
    </row>
    <row r="120">
      <c r="A120" s="37"/>
      <c r="B120" s="5"/>
      <c r="C120" s="5"/>
      <c r="D120" s="5"/>
      <c r="E120" s="9"/>
      <c r="F120" s="5"/>
      <c r="H120" s="28"/>
      <c r="I120" s="5"/>
      <c r="J120" s="5"/>
      <c r="M120" s="28"/>
      <c r="O120" s="25"/>
      <c r="P120" s="25"/>
      <c r="Q120" s="25"/>
      <c r="R120" s="10"/>
      <c r="S120" s="10"/>
      <c r="T120" s="14"/>
    </row>
    <row r="121">
      <c r="A121" s="37"/>
      <c r="B121" s="5"/>
      <c r="C121" s="5"/>
      <c r="D121" s="5"/>
      <c r="E121" s="9"/>
      <c r="F121" s="5"/>
      <c r="H121" s="28"/>
      <c r="I121" s="5"/>
      <c r="J121" s="5"/>
      <c r="M121" s="28"/>
      <c r="O121" s="25"/>
      <c r="P121" s="25"/>
      <c r="Q121" s="25"/>
      <c r="R121" s="10"/>
      <c r="S121" s="10"/>
      <c r="T121" s="14"/>
    </row>
    <row r="122">
      <c r="A122" s="37"/>
      <c r="B122" s="5"/>
      <c r="C122" s="5"/>
      <c r="D122" s="5"/>
      <c r="E122" s="9"/>
      <c r="F122" s="5"/>
      <c r="H122" s="28"/>
      <c r="I122" s="5"/>
      <c r="J122" s="5"/>
      <c r="M122" s="28"/>
      <c r="O122" s="25"/>
      <c r="P122" s="25"/>
      <c r="Q122" s="25"/>
      <c r="R122" s="10"/>
      <c r="S122" s="10"/>
      <c r="T122" s="14"/>
    </row>
    <row r="123">
      <c r="A123" s="37"/>
      <c r="B123" s="5"/>
      <c r="C123" s="5"/>
      <c r="D123" s="5"/>
      <c r="E123" s="9"/>
      <c r="F123" s="5"/>
      <c r="H123" s="28"/>
      <c r="I123" s="5"/>
      <c r="J123" s="5"/>
      <c r="M123" s="28"/>
      <c r="O123" s="25"/>
      <c r="P123" s="25"/>
      <c r="Q123" s="25"/>
      <c r="R123" s="10"/>
      <c r="S123" s="10"/>
      <c r="T123" s="14"/>
    </row>
    <row r="124">
      <c r="A124" s="37"/>
      <c r="B124" s="5"/>
      <c r="C124" s="5"/>
      <c r="D124" s="5"/>
      <c r="E124" s="9"/>
      <c r="F124" s="5"/>
      <c r="H124" s="28"/>
      <c r="I124" s="5"/>
      <c r="J124" s="5"/>
      <c r="M124" s="28"/>
      <c r="O124" s="25"/>
      <c r="P124" s="25"/>
      <c r="Q124" s="25"/>
      <c r="R124" s="10"/>
      <c r="S124" s="10"/>
      <c r="T124" s="14"/>
    </row>
    <row r="125">
      <c r="A125" s="37"/>
      <c r="B125" s="5"/>
      <c r="C125" s="5"/>
      <c r="D125" s="5"/>
      <c r="E125" s="9"/>
      <c r="F125" s="5"/>
      <c r="H125" s="28"/>
      <c r="I125" s="5"/>
      <c r="J125" s="5"/>
      <c r="M125" s="28"/>
      <c r="O125" s="25"/>
      <c r="P125" s="25"/>
      <c r="Q125" s="25"/>
      <c r="R125" s="10"/>
      <c r="S125" s="10"/>
      <c r="T125" s="14"/>
    </row>
    <row r="126">
      <c r="A126" s="37"/>
      <c r="B126" s="5"/>
      <c r="C126" s="5"/>
      <c r="D126" s="5"/>
      <c r="E126" s="9"/>
      <c r="F126" s="5"/>
      <c r="H126" s="28"/>
      <c r="I126" s="5"/>
      <c r="J126" s="5"/>
      <c r="M126" s="28"/>
      <c r="O126" s="25"/>
      <c r="P126" s="25"/>
      <c r="Q126" s="25"/>
      <c r="R126" s="10"/>
      <c r="S126" s="10"/>
      <c r="T126" s="14"/>
    </row>
    <row r="127">
      <c r="A127" s="37"/>
      <c r="B127" s="5"/>
      <c r="C127" s="5"/>
      <c r="D127" s="5"/>
      <c r="E127" s="9"/>
      <c r="F127" s="5"/>
      <c r="H127" s="28"/>
      <c r="I127" s="5"/>
      <c r="J127" s="5"/>
      <c r="M127" s="28"/>
      <c r="O127" s="25"/>
      <c r="P127" s="25"/>
      <c r="Q127" s="25"/>
      <c r="R127" s="10"/>
      <c r="S127" s="10"/>
      <c r="T127" s="14"/>
    </row>
    <row r="128">
      <c r="A128" s="37"/>
      <c r="B128" s="5"/>
      <c r="C128" s="5"/>
      <c r="D128" s="5"/>
      <c r="E128" s="9"/>
      <c r="F128" s="5"/>
      <c r="H128" s="28"/>
      <c r="I128" s="5"/>
      <c r="J128" s="5"/>
      <c r="M128" s="28"/>
      <c r="O128" s="25"/>
      <c r="P128" s="25"/>
      <c r="Q128" s="25"/>
      <c r="R128" s="10"/>
      <c r="S128" s="10"/>
      <c r="T128" s="14"/>
    </row>
    <row r="129">
      <c r="A129" s="37"/>
      <c r="B129" s="5"/>
      <c r="C129" s="5"/>
      <c r="D129" s="5"/>
      <c r="E129" s="9"/>
      <c r="F129" s="5"/>
      <c r="H129" s="28"/>
      <c r="I129" s="5"/>
      <c r="J129" s="5"/>
      <c r="M129" s="28"/>
      <c r="O129" s="25"/>
      <c r="P129" s="25"/>
      <c r="Q129" s="25"/>
      <c r="R129" s="10"/>
      <c r="S129" s="10"/>
      <c r="T129" s="14"/>
    </row>
    <row r="130">
      <c r="A130" s="37"/>
      <c r="B130" s="5"/>
      <c r="C130" s="5"/>
      <c r="D130" s="5"/>
      <c r="E130" s="9"/>
      <c r="F130" s="5"/>
      <c r="H130" s="28"/>
      <c r="I130" s="5"/>
      <c r="J130" s="5"/>
      <c r="M130" s="28"/>
      <c r="O130" s="25"/>
      <c r="P130" s="25"/>
      <c r="Q130" s="25"/>
      <c r="R130" s="10"/>
      <c r="S130" s="10"/>
      <c r="T130" s="14"/>
    </row>
    <row r="131">
      <c r="A131" s="37"/>
      <c r="B131" s="5"/>
      <c r="C131" s="5"/>
      <c r="D131" s="5"/>
      <c r="E131" s="9"/>
      <c r="F131" s="5"/>
      <c r="H131" s="28"/>
      <c r="I131" s="5"/>
      <c r="J131" s="5"/>
      <c r="M131" s="28"/>
      <c r="O131" s="25"/>
      <c r="P131" s="25"/>
      <c r="Q131" s="25"/>
      <c r="R131" s="10"/>
      <c r="S131" s="10"/>
      <c r="T131" s="14"/>
    </row>
    <row r="132">
      <c r="A132" s="37"/>
      <c r="B132" s="5"/>
      <c r="C132" s="5"/>
      <c r="D132" s="5"/>
      <c r="E132" s="9"/>
      <c r="F132" s="5"/>
      <c r="H132" s="28"/>
      <c r="I132" s="5"/>
      <c r="J132" s="5"/>
      <c r="M132" s="28"/>
      <c r="O132" s="25"/>
      <c r="P132" s="25"/>
      <c r="Q132" s="25"/>
      <c r="R132" s="10"/>
      <c r="S132" s="10"/>
      <c r="T132" s="14"/>
    </row>
    <row r="133">
      <c r="A133" s="37"/>
      <c r="B133" s="5"/>
      <c r="C133" s="5"/>
      <c r="D133" s="5"/>
      <c r="E133" s="9"/>
      <c r="F133" s="5"/>
      <c r="H133" s="28"/>
      <c r="I133" s="5"/>
      <c r="J133" s="5"/>
      <c r="M133" s="28"/>
      <c r="O133" s="25"/>
      <c r="P133" s="25"/>
      <c r="Q133" s="25"/>
      <c r="R133" s="10"/>
      <c r="S133" s="10"/>
      <c r="T133" s="14"/>
    </row>
    <row r="134">
      <c r="A134" s="37"/>
      <c r="B134" s="5"/>
      <c r="C134" s="5"/>
      <c r="D134" s="5"/>
      <c r="E134" s="9"/>
      <c r="F134" s="5"/>
      <c r="H134" s="28"/>
      <c r="I134" s="5"/>
      <c r="J134" s="5"/>
      <c r="M134" s="28"/>
      <c r="O134" s="25"/>
      <c r="P134" s="25"/>
      <c r="Q134" s="25"/>
      <c r="R134" s="10"/>
      <c r="S134" s="10"/>
      <c r="T134" s="14"/>
    </row>
    <row r="135">
      <c r="A135" s="37"/>
      <c r="B135" s="5"/>
      <c r="C135" s="5"/>
      <c r="D135" s="5"/>
      <c r="E135" s="9"/>
      <c r="F135" s="5"/>
      <c r="H135" s="28"/>
      <c r="I135" s="5"/>
      <c r="J135" s="5"/>
      <c r="M135" s="28"/>
      <c r="O135" s="25"/>
      <c r="P135" s="25"/>
      <c r="Q135" s="25"/>
      <c r="R135" s="10"/>
      <c r="S135" s="10"/>
      <c r="T135" s="14"/>
    </row>
    <row r="136">
      <c r="A136" s="37"/>
      <c r="B136" s="5"/>
      <c r="C136" s="5"/>
      <c r="D136" s="5"/>
      <c r="E136" s="9"/>
      <c r="F136" s="5"/>
      <c r="H136" s="28"/>
      <c r="I136" s="5"/>
      <c r="J136" s="5"/>
      <c r="M136" s="28"/>
      <c r="O136" s="25"/>
      <c r="P136" s="25"/>
      <c r="Q136" s="25"/>
      <c r="R136" s="10"/>
      <c r="S136" s="10"/>
      <c r="T136" s="14"/>
    </row>
    <row r="137">
      <c r="A137" s="37"/>
      <c r="B137" s="5"/>
      <c r="C137" s="5"/>
      <c r="D137" s="5"/>
      <c r="E137" s="9"/>
      <c r="F137" s="5"/>
      <c r="H137" s="28"/>
      <c r="I137" s="5"/>
      <c r="J137" s="5"/>
      <c r="M137" s="28"/>
      <c r="O137" s="25"/>
      <c r="P137" s="25"/>
      <c r="Q137" s="25"/>
      <c r="R137" s="10"/>
      <c r="S137" s="10"/>
      <c r="T137" s="14"/>
    </row>
    <row r="138">
      <c r="A138" s="37"/>
      <c r="B138" s="5"/>
      <c r="C138" s="5"/>
      <c r="D138" s="5"/>
      <c r="E138" s="9"/>
      <c r="F138" s="5"/>
      <c r="H138" s="28"/>
      <c r="I138" s="5"/>
      <c r="J138" s="5"/>
      <c r="M138" s="28"/>
      <c r="O138" s="25"/>
      <c r="P138" s="25"/>
      <c r="Q138" s="25"/>
      <c r="R138" s="10"/>
      <c r="S138" s="10"/>
      <c r="T138" s="14"/>
    </row>
    <row r="139">
      <c r="A139" s="37"/>
      <c r="B139" s="5"/>
      <c r="C139" s="5"/>
      <c r="D139" s="5"/>
      <c r="E139" s="9"/>
      <c r="F139" s="5"/>
      <c r="H139" s="28"/>
      <c r="I139" s="5"/>
      <c r="J139" s="5"/>
      <c r="M139" s="28"/>
      <c r="O139" s="25"/>
      <c r="P139" s="25"/>
      <c r="Q139" s="25"/>
      <c r="R139" s="10"/>
      <c r="S139" s="10"/>
      <c r="T139" s="14"/>
    </row>
    <row r="140">
      <c r="A140" s="37"/>
      <c r="B140" s="5"/>
      <c r="C140" s="5"/>
      <c r="D140" s="5"/>
      <c r="E140" s="9"/>
      <c r="F140" s="5"/>
      <c r="H140" s="28"/>
      <c r="I140" s="5"/>
      <c r="J140" s="5"/>
      <c r="M140" s="28"/>
      <c r="O140" s="25"/>
      <c r="P140" s="25"/>
      <c r="Q140" s="25"/>
      <c r="R140" s="10"/>
      <c r="S140" s="10"/>
      <c r="T140" s="14"/>
    </row>
    <row r="141">
      <c r="A141" s="37"/>
      <c r="B141" s="5"/>
      <c r="C141" s="5"/>
      <c r="D141" s="5"/>
      <c r="E141" s="9"/>
      <c r="F141" s="5"/>
      <c r="H141" s="28"/>
      <c r="I141" s="5"/>
      <c r="J141" s="5"/>
      <c r="M141" s="28"/>
      <c r="O141" s="25"/>
      <c r="P141" s="25"/>
      <c r="Q141" s="25"/>
      <c r="R141" s="10"/>
      <c r="S141" s="10"/>
      <c r="T141" s="14"/>
    </row>
    <row r="142">
      <c r="A142" s="37"/>
      <c r="B142" s="5"/>
      <c r="C142" s="5"/>
      <c r="D142" s="5"/>
      <c r="E142" s="9"/>
      <c r="F142" s="5"/>
      <c r="H142" s="28"/>
      <c r="I142" s="5"/>
      <c r="J142" s="5"/>
      <c r="M142" s="28"/>
      <c r="O142" s="25"/>
      <c r="P142" s="25"/>
      <c r="Q142" s="25"/>
      <c r="R142" s="10"/>
      <c r="S142" s="10"/>
      <c r="T142" s="14"/>
    </row>
    <row r="143">
      <c r="A143" s="37"/>
      <c r="B143" s="5"/>
      <c r="C143" s="5"/>
      <c r="D143" s="5"/>
      <c r="E143" s="9"/>
      <c r="F143" s="5"/>
      <c r="H143" s="28"/>
      <c r="I143" s="5"/>
      <c r="J143" s="5"/>
      <c r="M143" s="28"/>
      <c r="O143" s="25"/>
      <c r="P143" s="25"/>
      <c r="Q143" s="25"/>
      <c r="R143" s="10"/>
      <c r="S143" s="10"/>
      <c r="T143" s="14"/>
    </row>
    <row r="144">
      <c r="A144" s="37"/>
      <c r="B144" s="5"/>
      <c r="C144" s="5"/>
      <c r="D144" s="5"/>
      <c r="E144" s="9"/>
      <c r="F144" s="5"/>
      <c r="H144" s="28"/>
      <c r="I144" s="5"/>
      <c r="J144" s="5"/>
      <c r="M144" s="28"/>
      <c r="O144" s="25"/>
      <c r="P144" s="25"/>
      <c r="Q144" s="25"/>
      <c r="R144" s="10"/>
      <c r="S144" s="10"/>
      <c r="T144" s="14"/>
    </row>
    <row r="145">
      <c r="A145" s="37"/>
      <c r="B145" s="5"/>
      <c r="C145" s="5"/>
      <c r="D145" s="5"/>
      <c r="E145" s="9"/>
      <c r="F145" s="5"/>
      <c r="H145" s="28"/>
      <c r="I145" s="5"/>
      <c r="J145" s="5"/>
      <c r="M145" s="28"/>
      <c r="O145" s="25"/>
      <c r="P145" s="25"/>
      <c r="Q145" s="25"/>
      <c r="R145" s="10"/>
      <c r="S145" s="10"/>
      <c r="T145" s="14"/>
    </row>
    <row r="146">
      <c r="A146" s="37"/>
      <c r="B146" s="5"/>
      <c r="C146" s="5"/>
      <c r="D146" s="5"/>
      <c r="E146" s="9"/>
      <c r="F146" s="5"/>
      <c r="H146" s="28"/>
      <c r="I146" s="5"/>
      <c r="J146" s="5"/>
      <c r="M146" s="28"/>
      <c r="O146" s="25"/>
      <c r="P146" s="25"/>
      <c r="Q146" s="25"/>
      <c r="R146" s="10"/>
      <c r="S146" s="10"/>
      <c r="T146" s="14"/>
    </row>
    <row r="147">
      <c r="A147" s="37"/>
      <c r="B147" s="5"/>
      <c r="C147" s="5"/>
      <c r="D147" s="5"/>
      <c r="E147" s="9"/>
      <c r="F147" s="5"/>
      <c r="H147" s="28"/>
      <c r="I147" s="5"/>
      <c r="J147" s="5"/>
      <c r="M147" s="28"/>
      <c r="O147" s="25"/>
      <c r="P147" s="25"/>
      <c r="Q147" s="25"/>
      <c r="R147" s="10"/>
      <c r="S147" s="10"/>
      <c r="T147" s="14"/>
    </row>
    <row r="148">
      <c r="A148" s="37"/>
      <c r="B148" s="5"/>
      <c r="C148" s="5"/>
      <c r="D148" s="5"/>
      <c r="E148" s="9"/>
      <c r="F148" s="5"/>
      <c r="H148" s="28"/>
      <c r="I148" s="5"/>
      <c r="J148" s="5"/>
      <c r="M148" s="28"/>
      <c r="O148" s="25"/>
      <c r="P148" s="25"/>
      <c r="Q148" s="25"/>
      <c r="R148" s="10"/>
      <c r="S148" s="10"/>
      <c r="T148" s="14"/>
    </row>
    <row r="149">
      <c r="A149" s="37"/>
      <c r="B149" s="5"/>
      <c r="C149" s="5"/>
      <c r="D149" s="5"/>
      <c r="E149" s="9"/>
      <c r="F149" s="5"/>
      <c r="H149" s="28"/>
      <c r="I149" s="5"/>
      <c r="J149" s="5"/>
      <c r="M149" s="28"/>
      <c r="O149" s="25"/>
      <c r="P149" s="25"/>
      <c r="Q149" s="25"/>
      <c r="R149" s="10"/>
      <c r="S149" s="10"/>
      <c r="T149" s="14"/>
    </row>
    <row r="150">
      <c r="A150" s="37"/>
      <c r="B150" s="5"/>
      <c r="C150" s="5"/>
      <c r="D150" s="5"/>
      <c r="E150" s="9"/>
      <c r="F150" s="5"/>
      <c r="H150" s="28"/>
      <c r="I150" s="5"/>
      <c r="J150" s="5"/>
      <c r="M150" s="28"/>
      <c r="O150" s="25"/>
      <c r="P150" s="25"/>
      <c r="Q150" s="25"/>
      <c r="R150" s="10"/>
      <c r="S150" s="10"/>
      <c r="T150" s="14"/>
    </row>
    <row r="151">
      <c r="A151" s="37"/>
      <c r="B151" s="5"/>
      <c r="C151" s="5"/>
      <c r="D151" s="5"/>
      <c r="E151" s="9"/>
      <c r="F151" s="5"/>
      <c r="H151" s="28"/>
      <c r="I151" s="5"/>
      <c r="J151" s="5"/>
      <c r="M151" s="28"/>
      <c r="O151" s="25"/>
      <c r="P151" s="25"/>
      <c r="Q151" s="25"/>
      <c r="R151" s="10"/>
      <c r="S151" s="10"/>
      <c r="T151" s="14"/>
    </row>
    <row r="152">
      <c r="A152" s="37"/>
      <c r="B152" s="5"/>
      <c r="C152" s="5"/>
      <c r="D152" s="5"/>
      <c r="E152" s="9"/>
      <c r="F152" s="5"/>
      <c r="H152" s="28"/>
      <c r="I152" s="5"/>
      <c r="J152" s="5"/>
      <c r="M152" s="28"/>
      <c r="O152" s="25"/>
      <c r="P152" s="25"/>
      <c r="Q152" s="25"/>
      <c r="R152" s="10"/>
      <c r="S152" s="10"/>
      <c r="T152" s="14"/>
    </row>
    <row r="153">
      <c r="A153" s="37"/>
      <c r="B153" s="5"/>
      <c r="C153" s="5"/>
      <c r="D153" s="5"/>
      <c r="E153" s="9"/>
      <c r="F153" s="5"/>
      <c r="H153" s="28"/>
      <c r="I153" s="5"/>
      <c r="J153" s="5"/>
      <c r="M153" s="28"/>
      <c r="O153" s="25"/>
      <c r="P153" s="25"/>
      <c r="Q153" s="25"/>
      <c r="R153" s="10"/>
      <c r="S153" s="10"/>
      <c r="T153" s="14"/>
    </row>
    <row r="154">
      <c r="A154" s="37"/>
      <c r="B154" s="5"/>
      <c r="C154" s="5"/>
      <c r="D154" s="5"/>
      <c r="E154" s="9"/>
      <c r="F154" s="5"/>
      <c r="H154" s="28"/>
      <c r="I154" s="5"/>
      <c r="J154" s="5"/>
      <c r="M154" s="28"/>
      <c r="O154" s="25"/>
      <c r="P154" s="25"/>
      <c r="Q154" s="25"/>
      <c r="R154" s="10"/>
      <c r="S154" s="10"/>
      <c r="T154" s="14"/>
    </row>
    <row r="155">
      <c r="A155" s="37"/>
      <c r="B155" s="5"/>
      <c r="C155" s="5"/>
      <c r="D155" s="5"/>
      <c r="E155" s="9"/>
      <c r="F155" s="5"/>
      <c r="H155" s="28"/>
      <c r="I155" s="5"/>
      <c r="J155" s="5"/>
      <c r="M155" s="28"/>
      <c r="O155" s="25"/>
      <c r="P155" s="25"/>
      <c r="Q155" s="25"/>
      <c r="R155" s="10"/>
      <c r="S155" s="10"/>
      <c r="T155" s="14"/>
    </row>
    <row r="156">
      <c r="A156" s="37"/>
      <c r="B156" s="5"/>
      <c r="C156" s="5"/>
      <c r="D156" s="5"/>
      <c r="E156" s="9"/>
      <c r="F156" s="5"/>
      <c r="H156" s="28"/>
      <c r="I156" s="5"/>
      <c r="J156" s="5"/>
      <c r="M156" s="28"/>
      <c r="O156" s="25"/>
      <c r="P156" s="25"/>
      <c r="Q156" s="25"/>
      <c r="R156" s="10"/>
      <c r="S156" s="10"/>
      <c r="T156" s="14"/>
    </row>
    <row r="157">
      <c r="A157" s="37"/>
      <c r="B157" s="5"/>
      <c r="C157" s="5"/>
      <c r="D157" s="5"/>
      <c r="E157" s="9"/>
      <c r="F157" s="5"/>
      <c r="H157" s="28"/>
      <c r="I157" s="5"/>
      <c r="J157" s="5"/>
      <c r="M157" s="28"/>
      <c r="O157" s="25"/>
      <c r="P157" s="25"/>
      <c r="Q157" s="25"/>
      <c r="R157" s="10"/>
      <c r="S157" s="10"/>
      <c r="T157" s="14"/>
    </row>
    <row r="158">
      <c r="A158" s="37"/>
      <c r="B158" s="5"/>
      <c r="C158" s="5"/>
      <c r="D158" s="5"/>
      <c r="E158" s="9"/>
      <c r="F158" s="5"/>
      <c r="H158" s="28"/>
      <c r="I158" s="5"/>
      <c r="J158" s="5"/>
      <c r="M158" s="28"/>
      <c r="O158" s="25"/>
      <c r="P158" s="25"/>
      <c r="Q158" s="25"/>
      <c r="R158" s="10"/>
      <c r="S158" s="10"/>
      <c r="T158" s="14"/>
    </row>
    <row r="159">
      <c r="A159" s="37"/>
      <c r="B159" s="5"/>
      <c r="C159" s="5"/>
      <c r="D159" s="5"/>
      <c r="E159" s="9"/>
      <c r="F159" s="5"/>
      <c r="H159" s="28"/>
      <c r="I159" s="5"/>
      <c r="J159" s="5"/>
      <c r="M159" s="28"/>
      <c r="O159" s="25"/>
      <c r="P159" s="25"/>
      <c r="Q159" s="25"/>
      <c r="R159" s="10"/>
      <c r="S159" s="10"/>
      <c r="T159" s="14"/>
    </row>
    <row r="160">
      <c r="A160" s="37"/>
      <c r="B160" s="5"/>
      <c r="C160" s="5"/>
      <c r="D160" s="5"/>
      <c r="E160" s="9"/>
      <c r="F160" s="5"/>
      <c r="H160" s="28"/>
      <c r="I160" s="5"/>
      <c r="J160" s="5"/>
      <c r="M160" s="28"/>
      <c r="O160" s="25"/>
      <c r="P160" s="25"/>
      <c r="Q160" s="25"/>
      <c r="R160" s="10"/>
      <c r="S160" s="10"/>
      <c r="T160" s="14"/>
    </row>
    <row r="161">
      <c r="A161" s="37"/>
      <c r="B161" s="5"/>
      <c r="C161" s="5"/>
      <c r="D161" s="5"/>
      <c r="E161" s="9"/>
      <c r="F161" s="5"/>
      <c r="H161" s="28"/>
      <c r="I161" s="5"/>
      <c r="J161" s="5"/>
      <c r="M161" s="28"/>
      <c r="O161" s="25"/>
      <c r="P161" s="25"/>
      <c r="Q161" s="25"/>
      <c r="R161" s="10"/>
      <c r="S161" s="10"/>
      <c r="T161" s="14"/>
    </row>
    <row r="162">
      <c r="A162" s="37"/>
      <c r="B162" s="5"/>
      <c r="C162" s="5"/>
      <c r="D162" s="5"/>
      <c r="E162" s="9"/>
      <c r="F162" s="5"/>
      <c r="H162" s="28"/>
      <c r="I162" s="5"/>
      <c r="J162" s="5"/>
      <c r="M162" s="28"/>
      <c r="O162" s="25"/>
      <c r="P162" s="25"/>
      <c r="Q162" s="25"/>
      <c r="R162" s="10"/>
      <c r="S162" s="10"/>
      <c r="T162" s="14"/>
    </row>
    <row r="163">
      <c r="A163" s="37"/>
      <c r="B163" s="5"/>
      <c r="C163" s="5"/>
      <c r="D163" s="5"/>
      <c r="E163" s="9"/>
      <c r="F163" s="5"/>
      <c r="H163" s="28"/>
      <c r="I163" s="5"/>
      <c r="J163" s="5"/>
      <c r="M163" s="28"/>
      <c r="O163" s="25"/>
      <c r="P163" s="25"/>
      <c r="Q163" s="25"/>
      <c r="R163" s="10"/>
      <c r="S163" s="10"/>
      <c r="T163" s="14"/>
    </row>
    <row r="164">
      <c r="A164" s="37"/>
      <c r="B164" s="5"/>
      <c r="C164" s="5"/>
      <c r="D164" s="5"/>
      <c r="E164" s="9"/>
      <c r="F164" s="5"/>
      <c r="H164" s="28"/>
      <c r="I164" s="5"/>
      <c r="J164" s="5"/>
      <c r="M164" s="28"/>
      <c r="O164" s="25"/>
      <c r="P164" s="25"/>
      <c r="Q164" s="25"/>
      <c r="R164" s="10"/>
      <c r="S164" s="10"/>
      <c r="T164" s="14"/>
    </row>
    <row r="165">
      <c r="A165" s="37"/>
      <c r="B165" s="5"/>
      <c r="C165" s="5"/>
      <c r="D165" s="5"/>
      <c r="E165" s="9"/>
      <c r="F165" s="5"/>
      <c r="H165" s="28"/>
      <c r="I165" s="5"/>
      <c r="J165" s="5"/>
      <c r="M165" s="28"/>
      <c r="O165" s="25"/>
      <c r="P165" s="25"/>
      <c r="Q165" s="25"/>
      <c r="R165" s="10"/>
      <c r="S165" s="10"/>
      <c r="T165" s="14"/>
    </row>
    <row r="166">
      <c r="A166" s="37"/>
      <c r="B166" s="5"/>
      <c r="C166" s="5"/>
      <c r="D166" s="5"/>
      <c r="E166" s="9"/>
      <c r="F166" s="5"/>
      <c r="H166" s="28"/>
      <c r="I166" s="5"/>
      <c r="J166" s="5"/>
      <c r="M166" s="28"/>
      <c r="O166" s="25"/>
      <c r="P166" s="25"/>
      <c r="Q166" s="25"/>
      <c r="R166" s="10"/>
      <c r="S166" s="10"/>
      <c r="T166" s="14"/>
    </row>
    <row r="167">
      <c r="A167" s="37"/>
      <c r="B167" s="5"/>
      <c r="C167" s="5"/>
      <c r="D167" s="5"/>
      <c r="E167" s="9"/>
      <c r="F167" s="5"/>
      <c r="H167" s="28"/>
      <c r="I167" s="5"/>
      <c r="J167" s="5"/>
      <c r="M167" s="28"/>
      <c r="O167" s="25"/>
      <c r="P167" s="25"/>
      <c r="Q167" s="25"/>
      <c r="R167" s="10"/>
      <c r="S167" s="10"/>
      <c r="T167" s="14"/>
    </row>
    <row r="168">
      <c r="A168" s="37"/>
      <c r="B168" s="5"/>
      <c r="C168" s="5"/>
      <c r="D168" s="5"/>
      <c r="E168" s="9"/>
      <c r="F168" s="5"/>
      <c r="H168" s="28"/>
      <c r="I168" s="5"/>
      <c r="J168" s="5"/>
      <c r="M168" s="28"/>
      <c r="O168" s="25"/>
      <c r="P168" s="25"/>
      <c r="Q168" s="25"/>
      <c r="R168" s="10"/>
      <c r="S168" s="10"/>
      <c r="T168" s="14"/>
    </row>
    <row r="169">
      <c r="A169" s="37"/>
      <c r="B169" s="5"/>
      <c r="C169" s="5"/>
      <c r="D169" s="5"/>
      <c r="E169" s="9"/>
      <c r="F169" s="5"/>
      <c r="H169" s="28"/>
      <c r="I169" s="5"/>
      <c r="J169" s="5"/>
      <c r="M169" s="28"/>
      <c r="O169" s="25"/>
      <c r="P169" s="25"/>
      <c r="Q169" s="25"/>
      <c r="R169" s="10"/>
      <c r="S169" s="10"/>
      <c r="T169" s="14"/>
    </row>
    <row r="170">
      <c r="A170" s="37"/>
      <c r="B170" s="5"/>
      <c r="C170" s="5"/>
      <c r="D170" s="5"/>
      <c r="E170" s="9"/>
      <c r="F170" s="5"/>
      <c r="H170" s="28"/>
      <c r="I170" s="5"/>
      <c r="J170" s="5"/>
      <c r="M170" s="28"/>
      <c r="O170" s="25"/>
      <c r="P170" s="25"/>
      <c r="Q170" s="25"/>
      <c r="R170" s="10"/>
      <c r="S170" s="10"/>
      <c r="T170" s="14"/>
    </row>
    <row r="171">
      <c r="A171" s="37"/>
      <c r="B171" s="5"/>
      <c r="C171" s="5"/>
      <c r="D171" s="5"/>
      <c r="E171" s="9"/>
      <c r="F171" s="5"/>
      <c r="H171" s="28"/>
      <c r="I171" s="5"/>
      <c r="J171" s="5"/>
      <c r="M171" s="28"/>
      <c r="O171" s="25"/>
      <c r="P171" s="25"/>
      <c r="Q171" s="25"/>
      <c r="R171" s="10"/>
      <c r="S171" s="10"/>
      <c r="T171" s="14"/>
    </row>
    <row r="172">
      <c r="A172" s="37"/>
      <c r="B172" s="5"/>
      <c r="C172" s="5"/>
      <c r="D172" s="5"/>
      <c r="E172" s="9"/>
      <c r="F172" s="5"/>
      <c r="H172" s="28"/>
      <c r="I172" s="5"/>
      <c r="J172" s="5"/>
      <c r="M172" s="28"/>
      <c r="O172" s="25"/>
      <c r="P172" s="25"/>
      <c r="Q172" s="25"/>
      <c r="R172" s="10"/>
      <c r="S172" s="10"/>
      <c r="T172" s="14"/>
    </row>
    <row r="173">
      <c r="A173" s="37"/>
      <c r="B173" s="5"/>
      <c r="C173" s="5"/>
      <c r="D173" s="5"/>
      <c r="E173" s="9"/>
      <c r="F173" s="5"/>
      <c r="H173" s="28"/>
      <c r="I173" s="5"/>
      <c r="J173" s="5"/>
      <c r="M173" s="28"/>
      <c r="O173" s="25"/>
      <c r="P173" s="25"/>
      <c r="Q173" s="25"/>
      <c r="R173" s="10"/>
      <c r="S173" s="10"/>
      <c r="T173" s="14"/>
    </row>
    <row r="174">
      <c r="A174" s="37"/>
      <c r="B174" s="5"/>
      <c r="C174" s="5"/>
      <c r="D174" s="5"/>
      <c r="E174" s="9"/>
      <c r="F174" s="5"/>
      <c r="H174" s="28"/>
      <c r="I174" s="5"/>
      <c r="J174" s="5"/>
      <c r="M174" s="28"/>
      <c r="O174" s="25"/>
      <c r="P174" s="25"/>
      <c r="Q174" s="25"/>
      <c r="R174" s="10"/>
      <c r="S174" s="10"/>
      <c r="T174" s="14"/>
    </row>
    <row r="175">
      <c r="A175" s="37"/>
      <c r="B175" s="5"/>
      <c r="C175" s="5"/>
      <c r="D175" s="5"/>
      <c r="E175" s="9"/>
      <c r="F175" s="5"/>
      <c r="H175" s="28"/>
      <c r="I175" s="5"/>
      <c r="J175" s="5"/>
      <c r="M175" s="28"/>
      <c r="O175" s="25"/>
      <c r="P175" s="25"/>
      <c r="Q175" s="25"/>
      <c r="R175" s="10"/>
      <c r="S175" s="10"/>
      <c r="T175" s="14"/>
    </row>
    <row r="176">
      <c r="A176" s="37"/>
      <c r="B176" s="5"/>
      <c r="C176" s="5"/>
      <c r="D176" s="5"/>
      <c r="E176" s="9"/>
      <c r="F176" s="5"/>
      <c r="H176" s="28"/>
      <c r="I176" s="5"/>
      <c r="J176" s="5"/>
      <c r="M176" s="28"/>
      <c r="O176" s="25"/>
      <c r="P176" s="25"/>
      <c r="Q176" s="25"/>
      <c r="R176" s="10"/>
      <c r="S176" s="10"/>
      <c r="T176" s="14"/>
    </row>
    <row r="177">
      <c r="A177" s="37"/>
      <c r="B177" s="5"/>
      <c r="C177" s="5"/>
      <c r="D177" s="5"/>
      <c r="E177" s="9"/>
      <c r="F177" s="5"/>
      <c r="H177" s="28"/>
      <c r="I177" s="5"/>
      <c r="J177" s="5"/>
      <c r="M177" s="28"/>
      <c r="O177" s="25"/>
      <c r="P177" s="25"/>
      <c r="Q177" s="25"/>
      <c r="R177" s="10"/>
      <c r="S177" s="10"/>
      <c r="T177" s="14"/>
    </row>
    <row r="178">
      <c r="A178" s="37"/>
      <c r="B178" s="5"/>
      <c r="C178" s="5"/>
      <c r="D178" s="5"/>
      <c r="E178" s="9"/>
      <c r="F178" s="5"/>
      <c r="H178" s="28"/>
      <c r="I178" s="5"/>
      <c r="J178" s="5"/>
      <c r="M178" s="28"/>
      <c r="O178" s="25"/>
      <c r="P178" s="25"/>
      <c r="Q178" s="25"/>
      <c r="R178" s="10"/>
      <c r="S178" s="10"/>
      <c r="T178" s="14"/>
    </row>
    <row r="179">
      <c r="A179" s="37"/>
      <c r="B179" s="5"/>
      <c r="C179" s="5"/>
      <c r="D179" s="5"/>
      <c r="E179" s="9"/>
      <c r="F179" s="5"/>
      <c r="H179" s="28"/>
      <c r="I179" s="5"/>
      <c r="J179" s="5"/>
      <c r="M179" s="28"/>
      <c r="O179" s="25"/>
      <c r="P179" s="25"/>
      <c r="Q179" s="25"/>
      <c r="R179" s="10"/>
      <c r="S179" s="10"/>
      <c r="T179" s="14"/>
    </row>
    <row r="180">
      <c r="A180" s="37"/>
      <c r="B180" s="5"/>
      <c r="C180" s="5"/>
      <c r="D180" s="5"/>
      <c r="E180" s="9"/>
      <c r="F180" s="5"/>
      <c r="H180" s="28"/>
      <c r="I180" s="5"/>
      <c r="J180" s="5"/>
      <c r="M180" s="28"/>
      <c r="O180" s="25"/>
      <c r="P180" s="25"/>
      <c r="Q180" s="25"/>
      <c r="R180" s="10"/>
      <c r="S180" s="10"/>
      <c r="T180" s="14"/>
    </row>
    <row r="181">
      <c r="A181" s="37"/>
      <c r="B181" s="5"/>
      <c r="C181" s="5"/>
      <c r="D181" s="5"/>
      <c r="E181" s="9"/>
      <c r="F181" s="5"/>
      <c r="H181" s="28"/>
      <c r="I181" s="5"/>
      <c r="J181" s="5"/>
      <c r="M181" s="28"/>
      <c r="O181" s="25"/>
      <c r="P181" s="25"/>
      <c r="Q181" s="25"/>
      <c r="R181" s="10"/>
      <c r="S181" s="10"/>
      <c r="T181" s="14"/>
    </row>
    <row r="182">
      <c r="A182" s="37"/>
      <c r="B182" s="5"/>
      <c r="C182" s="5"/>
      <c r="D182" s="5"/>
      <c r="E182" s="9"/>
      <c r="F182" s="5"/>
      <c r="H182" s="28"/>
      <c r="I182" s="5"/>
      <c r="J182" s="5"/>
      <c r="M182" s="28"/>
      <c r="O182" s="25"/>
      <c r="P182" s="25"/>
      <c r="Q182" s="25"/>
      <c r="R182" s="10"/>
      <c r="S182" s="10"/>
      <c r="T182" s="14"/>
    </row>
    <row r="183">
      <c r="A183" s="37"/>
      <c r="B183" s="5"/>
      <c r="C183" s="5"/>
      <c r="D183" s="5"/>
      <c r="E183" s="9"/>
      <c r="F183" s="5"/>
      <c r="H183" s="28"/>
      <c r="I183" s="5"/>
      <c r="J183" s="5"/>
      <c r="M183" s="28"/>
      <c r="O183" s="25"/>
      <c r="P183" s="25"/>
      <c r="Q183" s="25"/>
      <c r="R183" s="10"/>
      <c r="S183" s="10"/>
      <c r="T183" s="14"/>
    </row>
    <row r="184">
      <c r="A184" s="37"/>
      <c r="B184" s="5"/>
      <c r="C184" s="5"/>
      <c r="D184" s="5"/>
      <c r="E184" s="9"/>
      <c r="F184" s="5"/>
      <c r="H184" s="28"/>
      <c r="I184" s="5"/>
      <c r="J184" s="5"/>
      <c r="M184" s="28"/>
      <c r="O184" s="25"/>
      <c r="P184" s="25"/>
      <c r="Q184" s="25"/>
      <c r="R184" s="10"/>
      <c r="S184" s="10"/>
      <c r="T184" s="14"/>
    </row>
    <row r="185">
      <c r="A185" s="37"/>
      <c r="B185" s="5"/>
      <c r="C185" s="5"/>
      <c r="D185" s="5"/>
      <c r="E185" s="9"/>
      <c r="F185" s="5"/>
      <c r="H185" s="28"/>
      <c r="I185" s="5"/>
      <c r="J185" s="5"/>
      <c r="M185" s="28"/>
      <c r="O185" s="25"/>
      <c r="P185" s="25"/>
      <c r="Q185" s="25"/>
      <c r="R185" s="10"/>
      <c r="S185" s="10"/>
      <c r="T185" s="14"/>
    </row>
    <row r="186">
      <c r="A186" s="37"/>
      <c r="B186" s="5"/>
      <c r="C186" s="5"/>
      <c r="D186" s="5"/>
      <c r="E186" s="9"/>
      <c r="F186" s="5"/>
      <c r="H186" s="28"/>
      <c r="I186" s="5"/>
      <c r="J186" s="5"/>
      <c r="M186" s="28"/>
      <c r="O186" s="25"/>
      <c r="P186" s="25"/>
      <c r="Q186" s="25"/>
      <c r="R186" s="10"/>
      <c r="S186" s="10"/>
      <c r="T186" s="14"/>
    </row>
    <row r="187">
      <c r="A187" s="37"/>
      <c r="B187" s="5"/>
      <c r="C187" s="5"/>
      <c r="D187" s="5"/>
      <c r="E187" s="9"/>
      <c r="F187" s="5"/>
      <c r="H187" s="28"/>
      <c r="I187" s="5"/>
      <c r="J187" s="5"/>
      <c r="M187" s="28"/>
      <c r="O187" s="25"/>
      <c r="P187" s="25"/>
      <c r="Q187" s="25"/>
      <c r="R187" s="10"/>
      <c r="S187" s="10"/>
      <c r="T187" s="14"/>
    </row>
    <row r="188">
      <c r="A188" s="37"/>
      <c r="B188" s="5"/>
      <c r="C188" s="5"/>
      <c r="D188" s="5"/>
      <c r="E188" s="9"/>
      <c r="F188" s="5"/>
      <c r="H188" s="28"/>
      <c r="I188" s="5"/>
      <c r="J188" s="5"/>
      <c r="M188" s="28"/>
      <c r="O188" s="25"/>
      <c r="P188" s="25"/>
      <c r="Q188" s="25"/>
      <c r="R188" s="10"/>
      <c r="S188" s="10"/>
      <c r="T188" s="14"/>
    </row>
    <row r="189">
      <c r="A189" s="37"/>
      <c r="B189" s="5"/>
      <c r="C189" s="5"/>
      <c r="D189" s="5"/>
      <c r="E189" s="9"/>
      <c r="F189" s="5"/>
      <c r="H189" s="28"/>
      <c r="I189" s="5"/>
      <c r="J189" s="5"/>
      <c r="M189" s="28"/>
      <c r="O189" s="25"/>
      <c r="P189" s="25"/>
      <c r="Q189" s="25"/>
      <c r="R189" s="10"/>
      <c r="S189" s="10"/>
      <c r="T189" s="14"/>
    </row>
    <row r="190">
      <c r="A190" s="37"/>
      <c r="B190" s="5"/>
      <c r="C190" s="5"/>
      <c r="D190" s="5"/>
      <c r="E190" s="9"/>
      <c r="F190" s="5"/>
      <c r="H190" s="28"/>
      <c r="I190" s="5"/>
      <c r="J190" s="5"/>
      <c r="M190" s="28"/>
      <c r="O190" s="25"/>
      <c r="P190" s="25"/>
      <c r="Q190" s="25"/>
      <c r="R190" s="10"/>
      <c r="S190" s="10"/>
      <c r="T190" s="14"/>
    </row>
    <row r="191">
      <c r="A191" s="37"/>
      <c r="B191" s="5"/>
      <c r="C191" s="5"/>
      <c r="D191" s="5"/>
      <c r="E191" s="9"/>
      <c r="F191" s="5"/>
      <c r="H191" s="28"/>
      <c r="I191" s="5"/>
      <c r="J191" s="5"/>
      <c r="M191" s="28"/>
      <c r="O191" s="25"/>
      <c r="P191" s="25"/>
      <c r="Q191" s="25"/>
      <c r="R191" s="10"/>
      <c r="S191" s="10"/>
      <c r="T191" s="14"/>
    </row>
    <row r="192">
      <c r="A192" s="37"/>
      <c r="B192" s="5"/>
      <c r="C192" s="5"/>
      <c r="D192" s="5"/>
      <c r="E192" s="9"/>
      <c r="F192" s="5"/>
      <c r="H192" s="28"/>
      <c r="I192" s="5"/>
      <c r="J192" s="5"/>
      <c r="M192" s="28"/>
      <c r="O192" s="25"/>
      <c r="P192" s="25"/>
      <c r="Q192" s="25"/>
      <c r="R192" s="10"/>
      <c r="S192" s="10"/>
      <c r="T192" s="14"/>
    </row>
    <row r="193">
      <c r="A193" s="37"/>
      <c r="B193" s="5"/>
      <c r="C193" s="5"/>
      <c r="D193" s="5"/>
      <c r="E193" s="9"/>
      <c r="F193" s="5"/>
      <c r="H193" s="28"/>
      <c r="I193" s="5"/>
      <c r="J193" s="5"/>
      <c r="M193" s="28"/>
      <c r="O193" s="25"/>
      <c r="P193" s="25"/>
      <c r="Q193" s="25"/>
      <c r="R193" s="10"/>
      <c r="S193" s="10"/>
      <c r="T193" s="14"/>
    </row>
    <row r="194">
      <c r="A194" s="37"/>
      <c r="B194" s="5"/>
      <c r="C194" s="5"/>
      <c r="D194" s="5"/>
      <c r="E194" s="9"/>
      <c r="F194" s="5"/>
      <c r="H194" s="28"/>
      <c r="I194" s="5"/>
      <c r="J194" s="5"/>
      <c r="M194" s="28"/>
      <c r="O194" s="25"/>
      <c r="P194" s="25"/>
      <c r="Q194" s="25"/>
      <c r="R194" s="10"/>
      <c r="S194" s="10"/>
      <c r="T194" s="14"/>
    </row>
    <row r="195">
      <c r="A195" s="37"/>
      <c r="B195" s="5"/>
      <c r="C195" s="5"/>
      <c r="D195" s="5"/>
      <c r="E195" s="9"/>
      <c r="F195" s="5"/>
      <c r="H195" s="28"/>
      <c r="I195" s="5"/>
      <c r="J195" s="5"/>
      <c r="M195" s="28"/>
      <c r="O195" s="25"/>
      <c r="P195" s="25"/>
      <c r="Q195" s="25"/>
      <c r="R195" s="10"/>
      <c r="S195" s="10"/>
      <c r="T195" s="14"/>
    </row>
    <row r="196">
      <c r="A196" s="37"/>
      <c r="B196" s="5"/>
      <c r="C196" s="5"/>
      <c r="D196" s="5"/>
      <c r="E196" s="9"/>
      <c r="F196" s="5"/>
      <c r="H196" s="28"/>
      <c r="I196" s="5"/>
      <c r="J196" s="5"/>
      <c r="M196" s="28"/>
      <c r="O196" s="25"/>
      <c r="P196" s="25"/>
      <c r="Q196" s="25"/>
      <c r="R196" s="10"/>
      <c r="S196" s="10"/>
      <c r="T196" s="14"/>
    </row>
    <row r="197">
      <c r="A197" s="37"/>
      <c r="B197" s="5"/>
      <c r="C197" s="5"/>
      <c r="D197" s="5"/>
      <c r="E197" s="9"/>
      <c r="F197" s="5"/>
      <c r="H197" s="28"/>
      <c r="I197" s="5"/>
      <c r="J197" s="5"/>
      <c r="M197" s="28"/>
      <c r="O197" s="25"/>
      <c r="P197" s="25"/>
      <c r="Q197" s="25"/>
      <c r="R197" s="10"/>
      <c r="S197" s="10"/>
      <c r="T197" s="14"/>
    </row>
    <row r="198">
      <c r="A198" s="37"/>
      <c r="B198" s="5"/>
      <c r="C198" s="5"/>
      <c r="D198" s="5"/>
      <c r="E198" s="9"/>
      <c r="F198" s="5"/>
      <c r="H198" s="28"/>
      <c r="I198" s="5"/>
      <c r="J198" s="5"/>
      <c r="M198" s="28"/>
      <c r="O198" s="25"/>
      <c r="P198" s="25"/>
      <c r="Q198" s="25"/>
      <c r="R198" s="10"/>
      <c r="S198" s="10"/>
      <c r="T198" s="14"/>
    </row>
    <row r="199">
      <c r="A199" s="37"/>
      <c r="B199" s="5"/>
      <c r="C199" s="5"/>
      <c r="D199" s="5"/>
      <c r="E199" s="9"/>
      <c r="F199" s="5"/>
      <c r="H199" s="28"/>
      <c r="I199" s="5"/>
      <c r="J199" s="5"/>
      <c r="M199" s="28"/>
      <c r="O199" s="25"/>
      <c r="P199" s="25"/>
      <c r="Q199" s="25"/>
      <c r="R199" s="10"/>
      <c r="S199" s="10"/>
      <c r="T199" s="14"/>
    </row>
    <row r="200">
      <c r="A200" s="37"/>
      <c r="B200" s="5"/>
      <c r="C200" s="5"/>
      <c r="D200" s="5"/>
      <c r="E200" s="9"/>
      <c r="F200" s="5"/>
      <c r="H200" s="28"/>
      <c r="I200" s="5"/>
      <c r="J200" s="5"/>
      <c r="M200" s="28"/>
      <c r="O200" s="25"/>
      <c r="P200" s="25"/>
      <c r="Q200" s="25"/>
      <c r="R200" s="10"/>
      <c r="S200" s="10"/>
      <c r="T200" s="14"/>
    </row>
    <row r="201">
      <c r="A201" s="37"/>
      <c r="B201" s="5"/>
      <c r="C201" s="5"/>
      <c r="D201" s="5"/>
      <c r="E201" s="9"/>
      <c r="F201" s="5"/>
      <c r="H201" s="28"/>
      <c r="I201" s="5"/>
      <c r="J201" s="5"/>
      <c r="M201" s="28"/>
      <c r="O201" s="25"/>
      <c r="P201" s="25"/>
      <c r="Q201" s="25"/>
      <c r="R201" s="10"/>
      <c r="S201" s="10"/>
      <c r="T201" s="14"/>
    </row>
    <row r="202">
      <c r="A202" s="37"/>
      <c r="B202" s="5"/>
      <c r="C202" s="5"/>
      <c r="D202" s="5"/>
      <c r="E202" s="9"/>
      <c r="F202" s="5"/>
      <c r="H202" s="28"/>
      <c r="I202" s="5"/>
      <c r="J202" s="5"/>
      <c r="M202" s="28"/>
      <c r="O202" s="25"/>
      <c r="P202" s="25"/>
      <c r="Q202" s="25"/>
      <c r="R202" s="10"/>
      <c r="S202" s="10"/>
      <c r="T202" s="14"/>
    </row>
    <row r="203">
      <c r="A203" s="37"/>
      <c r="B203" s="5"/>
      <c r="C203" s="5"/>
      <c r="D203" s="5"/>
      <c r="E203" s="9"/>
      <c r="F203" s="5"/>
      <c r="H203" s="28"/>
      <c r="I203" s="5"/>
      <c r="J203" s="5"/>
      <c r="M203" s="28"/>
      <c r="O203" s="25"/>
      <c r="P203" s="25"/>
      <c r="Q203" s="25"/>
      <c r="R203" s="10"/>
      <c r="S203" s="10"/>
      <c r="T203" s="14"/>
    </row>
    <row r="204">
      <c r="A204" s="37"/>
      <c r="B204" s="5"/>
      <c r="C204" s="5"/>
      <c r="D204" s="5"/>
      <c r="E204" s="9"/>
      <c r="F204" s="5"/>
      <c r="H204" s="28"/>
      <c r="I204" s="5"/>
      <c r="J204" s="5"/>
      <c r="M204" s="28"/>
      <c r="O204" s="25"/>
      <c r="P204" s="25"/>
      <c r="Q204" s="25"/>
      <c r="R204" s="10"/>
      <c r="S204" s="10"/>
      <c r="T204" s="14"/>
    </row>
    <row r="205">
      <c r="A205" s="37"/>
      <c r="B205" s="5"/>
      <c r="C205" s="5"/>
      <c r="D205" s="5"/>
      <c r="E205" s="9"/>
      <c r="F205" s="5"/>
      <c r="H205" s="28"/>
      <c r="I205" s="5"/>
      <c r="J205" s="5"/>
      <c r="M205" s="28"/>
      <c r="O205" s="25"/>
      <c r="P205" s="25"/>
      <c r="Q205" s="25"/>
      <c r="R205" s="10"/>
      <c r="S205" s="10"/>
      <c r="T205" s="14"/>
    </row>
    <row r="206">
      <c r="A206" s="37"/>
      <c r="B206" s="5"/>
      <c r="C206" s="5"/>
      <c r="D206" s="5"/>
      <c r="E206" s="9"/>
      <c r="F206" s="5"/>
      <c r="H206" s="28"/>
      <c r="I206" s="5"/>
      <c r="J206" s="5"/>
      <c r="M206" s="28"/>
      <c r="O206" s="25"/>
      <c r="P206" s="25"/>
      <c r="Q206" s="25"/>
      <c r="R206" s="10"/>
      <c r="S206" s="10"/>
      <c r="T206" s="14"/>
    </row>
    <row r="207">
      <c r="A207" s="37"/>
      <c r="B207" s="5"/>
      <c r="C207" s="5"/>
      <c r="D207" s="5"/>
      <c r="E207" s="9"/>
      <c r="F207" s="5"/>
      <c r="H207" s="28"/>
      <c r="I207" s="5"/>
      <c r="J207" s="5"/>
      <c r="M207" s="28"/>
      <c r="O207" s="25"/>
      <c r="P207" s="25"/>
      <c r="Q207" s="25"/>
      <c r="R207" s="10"/>
      <c r="S207" s="10"/>
      <c r="T207" s="14"/>
    </row>
    <row r="208">
      <c r="A208" s="37"/>
      <c r="B208" s="5"/>
      <c r="C208" s="5"/>
      <c r="D208" s="5"/>
      <c r="E208" s="9"/>
      <c r="F208" s="5"/>
      <c r="H208" s="28"/>
      <c r="I208" s="5"/>
      <c r="J208" s="5"/>
      <c r="M208" s="28"/>
      <c r="O208" s="25"/>
      <c r="P208" s="25"/>
      <c r="Q208" s="25"/>
      <c r="R208" s="10"/>
      <c r="S208" s="10"/>
      <c r="T208" s="14"/>
    </row>
    <row r="209">
      <c r="A209" s="37"/>
      <c r="B209" s="5"/>
      <c r="C209" s="5"/>
      <c r="D209" s="5"/>
      <c r="E209" s="9"/>
      <c r="F209" s="5"/>
      <c r="H209" s="28"/>
      <c r="I209" s="5"/>
      <c r="J209" s="5"/>
      <c r="M209" s="28"/>
      <c r="O209" s="25"/>
      <c r="P209" s="25"/>
      <c r="Q209" s="25"/>
      <c r="R209" s="10"/>
      <c r="S209" s="10"/>
      <c r="T209" s="14"/>
    </row>
    <row r="210">
      <c r="A210" s="37"/>
      <c r="B210" s="5"/>
      <c r="C210" s="5"/>
      <c r="D210" s="5"/>
      <c r="E210" s="9"/>
      <c r="F210" s="5"/>
      <c r="H210" s="28"/>
      <c r="I210" s="5"/>
      <c r="J210" s="5"/>
      <c r="M210" s="28"/>
      <c r="O210" s="25"/>
      <c r="P210" s="25"/>
      <c r="Q210" s="25"/>
      <c r="R210" s="10"/>
      <c r="S210" s="10"/>
      <c r="T210" s="14"/>
    </row>
    <row r="211">
      <c r="A211" s="37"/>
      <c r="B211" s="5"/>
      <c r="C211" s="5"/>
      <c r="D211" s="5"/>
      <c r="E211" s="9"/>
      <c r="F211" s="5"/>
      <c r="H211" s="28"/>
      <c r="I211" s="5"/>
      <c r="J211" s="5"/>
      <c r="M211" s="28"/>
      <c r="O211" s="25"/>
      <c r="P211" s="25"/>
      <c r="Q211" s="25"/>
      <c r="R211" s="10"/>
      <c r="S211" s="10"/>
      <c r="T211" s="14"/>
    </row>
    <row r="212">
      <c r="A212" s="37"/>
      <c r="B212" s="5"/>
      <c r="C212" s="5"/>
      <c r="D212" s="5"/>
      <c r="E212" s="9"/>
      <c r="F212" s="5"/>
      <c r="H212" s="28"/>
      <c r="I212" s="5"/>
      <c r="J212" s="5"/>
      <c r="M212" s="28"/>
      <c r="O212" s="25"/>
      <c r="P212" s="25"/>
      <c r="Q212" s="25"/>
      <c r="R212" s="10"/>
      <c r="S212" s="10"/>
      <c r="T212" s="14"/>
    </row>
    <row r="213">
      <c r="A213" s="37"/>
      <c r="B213" s="5"/>
      <c r="C213" s="5"/>
      <c r="D213" s="5"/>
      <c r="E213" s="9"/>
      <c r="F213" s="5"/>
      <c r="H213" s="28"/>
      <c r="I213" s="5"/>
      <c r="J213" s="5"/>
      <c r="M213" s="28"/>
      <c r="O213" s="25"/>
      <c r="P213" s="25"/>
      <c r="Q213" s="25"/>
      <c r="R213" s="10"/>
      <c r="S213" s="10"/>
      <c r="T213" s="14"/>
    </row>
    <row r="214">
      <c r="A214" s="37"/>
      <c r="B214" s="5"/>
      <c r="C214" s="5"/>
      <c r="D214" s="5"/>
      <c r="E214" s="9"/>
      <c r="F214" s="5"/>
      <c r="H214" s="28"/>
      <c r="I214" s="5"/>
      <c r="J214" s="5"/>
      <c r="M214" s="28"/>
      <c r="O214" s="25"/>
      <c r="P214" s="25"/>
      <c r="Q214" s="25"/>
      <c r="R214" s="10"/>
      <c r="S214" s="10"/>
      <c r="T214" s="14"/>
    </row>
    <row r="215">
      <c r="A215" s="37"/>
      <c r="B215" s="5"/>
      <c r="C215" s="5"/>
      <c r="D215" s="5"/>
      <c r="E215" s="9"/>
      <c r="F215" s="5"/>
      <c r="H215" s="28"/>
      <c r="I215" s="5"/>
      <c r="J215" s="5"/>
      <c r="M215" s="28"/>
      <c r="O215" s="25"/>
      <c r="P215" s="25"/>
      <c r="Q215" s="25"/>
      <c r="R215" s="10"/>
      <c r="S215" s="10"/>
      <c r="T215" s="14"/>
    </row>
    <row r="216">
      <c r="A216" s="37"/>
      <c r="B216" s="5"/>
      <c r="C216" s="5"/>
      <c r="D216" s="5"/>
      <c r="E216" s="9"/>
      <c r="F216" s="5"/>
      <c r="H216" s="28"/>
      <c r="I216" s="5"/>
      <c r="J216" s="5"/>
      <c r="M216" s="28"/>
      <c r="O216" s="25"/>
      <c r="P216" s="25"/>
      <c r="Q216" s="25"/>
      <c r="R216" s="10"/>
      <c r="S216" s="10"/>
      <c r="T216" s="14"/>
    </row>
    <row r="217">
      <c r="A217" s="37"/>
      <c r="B217" s="5"/>
      <c r="C217" s="5"/>
      <c r="D217" s="5"/>
      <c r="E217" s="9"/>
      <c r="F217" s="5"/>
      <c r="H217" s="28"/>
      <c r="I217" s="5"/>
      <c r="J217" s="5"/>
      <c r="M217" s="28"/>
      <c r="O217" s="25"/>
      <c r="P217" s="25"/>
      <c r="Q217" s="25"/>
      <c r="R217" s="10"/>
      <c r="S217" s="10"/>
      <c r="T217" s="14"/>
    </row>
    <row r="218">
      <c r="A218" s="37"/>
      <c r="B218" s="5"/>
      <c r="C218" s="5"/>
      <c r="D218" s="5"/>
      <c r="E218" s="9"/>
      <c r="F218" s="5"/>
      <c r="H218" s="28"/>
      <c r="I218" s="5"/>
      <c r="J218" s="5"/>
      <c r="M218" s="28"/>
      <c r="O218" s="25"/>
      <c r="P218" s="25"/>
      <c r="Q218" s="25"/>
      <c r="R218" s="10"/>
      <c r="S218" s="10"/>
      <c r="T218" s="14"/>
    </row>
    <row r="219">
      <c r="A219" s="37"/>
      <c r="B219" s="5"/>
      <c r="C219" s="5"/>
      <c r="D219" s="5"/>
      <c r="E219" s="9"/>
      <c r="F219" s="5"/>
      <c r="H219" s="28"/>
      <c r="I219" s="5"/>
      <c r="J219" s="5"/>
      <c r="M219" s="28"/>
      <c r="O219" s="25"/>
      <c r="P219" s="25"/>
      <c r="Q219" s="25"/>
      <c r="R219" s="10"/>
      <c r="S219" s="10"/>
      <c r="T219" s="14"/>
    </row>
    <row r="220">
      <c r="A220" s="37"/>
      <c r="B220" s="5"/>
      <c r="C220" s="5"/>
      <c r="D220" s="5"/>
      <c r="E220" s="9"/>
      <c r="F220" s="5"/>
      <c r="H220" s="28"/>
      <c r="I220" s="5"/>
      <c r="J220" s="5"/>
      <c r="M220" s="28"/>
      <c r="O220" s="25"/>
      <c r="P220" s="25"/>
      <c r="Q220" s="25"/>
      <c r="R220" s="10"/>
      <c r="S220" s="10"/>
      <c r="T220" s="14"/>
    </row>
    <row r="221">
      <c r="A221" s="37"/>
      <c r="B221" s="5"/>
      <c r="C221" s="5"/>
      <c r="D221" s="5"/>
      <c r="E221" s="9"/>
      <c r="F221" s="5"/>
      <c r="H221" s="28"/>
      <c r="I221" s="5"/>
      <c r="J221" s="5"/>
      <c r="M221" s="28"/>
      <c r="O221" s="25"/>
      <c r="P221" s="25"/>
      <c r="Q221" s="25"/>
      <c r="R221" s="10"/>
      <c r="S221" s="10"/>
      <c r="T221" s="14"/>
    </row>
    <row r="222">
      <c r="A222" s="37"/>
      <c r="B222" s="5"/>
      <c r="C222" s="5"/>
      <c r="D222" s="5"/>
      <c r="E222" s="9"/>
      <c r="F222" s="5"/>
      <c r="H222" s="28"/>
      <c r="I222" s="5"/>
      <c r="J222" s="5"/>
      <c r="M222" s="28"/>
      <c r="O222" s="25"/>
      <c r="P222" s="25"/>
      <c r="Q222" s="25"/>
      <c r="R222" s="10"/>
      <c r="S222" s="10"/>
      <c r="T222" s="14"/>
    </row>
    <row r="223">
      <c r="A223" s="37"/>
      <c r="B223" s="5"/>
      <c r="C223" s="5"/>
      <c r="D223" s="5"/>
      <c r="E223" s="9"/>
      <c r="F223" s="5"/>
      <c r="H223" s="28"/>
      <c r="I223" s="5"/>
      <c r="J223" s="5"/>
      <c r="M223" s="28"/>
      <c r="O223" s="25"/>
      <c r="P223" s="25"/>
      <c r="Q223" s="25"/>
      <c r="R223" s="10"/>
      <c r="S223" s="10"/>
      <c r="T223" s="14"/>
    </row>
    <row r="224">
      <c r="A224" s="37"/>
      <c r="B224" s="5"/>
      <c r="C224" s="5"/>
      <c r="D224" s="5"/>
      <c r="E224" s="9"/>
      <c r="F224" s="5"/>
      <c r="H224" s="28"/>
      <c r="I224" s="5"/>
      <c r="J224" s="5"/>
      <c r="M224" s="28"/>
      <c r="O224" s="25"/>
      <c r="P224" s="25"/>
      <c r="Q224" s="25"/>
      <c r="R224" s="10"/>
      <c r="S224" s="10"/>
      <c r="T224" s="14"/>
    </row>
    <row r="225">
      <c r="A225" s="37"/>
      <c r="B225" s="5"/>
      <c r="C225" s="5"/>
      <c r="D225" s="5"/>
      <c r="E225" s="9"/>
      <c r="F225" s="5"/>
      <c r="H225" s="28"/>
      <c r="I225" s="5"/>
      <c r="J225" s="5"/>
      <c r="M225" s="28"/>
      <c r="O225" s="25"/>
      <c r="P225" s="25"/>
      <c r="Q225" s="25"/>
      <c r="R225" s="10"/>
      <c r="S225" s="10"/>
      <c r="T225" s="14"/>
    </row>
    <row r="226">
      <c r="A226" s="37"/>
      <c r="B226" s="5"/>
      <c r="C226" s="5"/>
      <c r="D226" s="5"/>
      <c r="E226" s="9"/>
      <c r="F226" s="5"/>
      <c r="H226" s="28"/>
      <c r="I226" s="5"/>
      <c r="J226" s="5"/>
      <c r="M226" s="28"/>
      <c r="O226" s="25"/>
      <c r="P226" s="25"/>
      <c r="Q226" s="25"/>
      <c r="R226" s="10"/>
      <c r="S226" s="10"/>
      <c r="T226" s="14"/>
    </row>
    <row r="227">
      <c r="A227" s="37"/>
      <c r="B227" s="5"/>
      <c r="C227" s="5"/>
      <c r="D227" s="5"/>
      <c r="E227" s="9"/>
      <c r="F227" s="5"/>
      <c r="H227" s="28"/>
      <c r="I227" s="5"/>
      <c r="J227" s="5"/>
      <c r="M227" s="28"/>
      <c r="O227" s="25"/>
      <c r="P227" s="25"/>
      <c r="Q227" s="25"/>
      <c r="R227" s="10"/>
      <c r="S227" s="10"/>
      <c r="T227" s="14"/>
    </row>
    <row r="228">
      <c r="A228" s="37"/>
      <c r="B228" s="5"/>
      <c r="C228" s="5"/>
      <c r="D228" s="5"/>
      <c r="E228" s="9"/>
      <c r="F228" s="5"/>
      <c r="H228" s="28"/>
      <c r="I228" s="5"/>
      <c r="J228" s="5"/>
      <c r="M228" s="28"/>
      <c r="O228" s="25"/>
      <c r="P228" s="25"/>
      <c r="Q228" s="25"/>
      <c r="R228" s="10"/>
      <c r="S228" s="10"/>
      <c r="T228" s="14"/>
    </row>
    <row r="229">
      <c r="A229" s="37"/>
      <c r="B229" s="5"/>
      <c r="C229" s="5"/>
      <c r="D229" s="5"/>
      <c r="E229" s="9"/>
      <c r="F229" s="5"/>
      <c r="H229" s="28"/>
      <c r="I229" s="5"/>
      <c r="J229" s="5"/>
      <c r="M229" s="28"/>
      <c r="O229" s="25"/>
      <c r="P229" s="25"/>
      <c r="Q229" s="25"/>
      <c r="R229" s="10"/>
      <c r="S229" s="10"/>
      <c r="T229" s="14"/>
    </row>
    <row r="230">
      <c r="A230" s="37"/>
      <c r="B230" s="5"/>
      <c r="C230" s="5"/>
      <c r="D230" s="5"/>
      <c r="E230" s="9"/>
      <c r="F230" s="5"/>
      <c r="H230" s="28"/>
      <c r="I230" s="5"/>
      <c r="J230" s="5"/>
      <c r="M230" s="28"/>
      <c r="O230" s="25"/>
      <c r="P230" s="25"/>
      <c r="Q230" s="25"/>
      <c r="R230" s="10"/>
      <c r="S230" s="10"/>
      <c r="T230" s="14"/>
    </row>
    <row r="231">
      <c r="A231" s="37"/>
      <c r="B231" s="5"/>
      <c r="C231" s="5"/>
      <c r="D231" s="5"/>
      <c r="E231" s="9"/>
      <c r="F231" s="5"/>
      <c r="H231" s="28"/>
      <c r="I231" s="5"/>
      <c r="J231" s="5"/>
      <c r="M231" s="28"/>
      <c r="O231" s="25"/>
      <c r="P231" s="25"/>
      <c r="Q231" s="25"/>
      <c r="R231" s="10"/>
      <c r="S231" s="10"/>
      <c r="T231" s="14"/>
    </row>
    <row r="232">
      <c r="A232" s="37"/>
      <c r="B232" s="5"/>
      <c r="C232" s="5"/>
      <c r="D232" s="5"/>
      <c r="E232" s="9"/>
      <c r="F232" s="5"/>
      <c r="H232" s="28"/>
      <c r="I232" s="5"/>
      <c r="J232" s="5"/>
      <c r="M232" s="28"/>
      <c r="O232" s="25"/>
      <c r="P232" s="25"/>
      <c r="Q232" s="25"/>
      <c r="R232" s="10"/>
      <c r="S232" s="10"/>
      <c r="T232" s="14"/>
    </row>
    <row r="233">
      <c r="A233" s="37"/>
      <c r="B233" s="5"/>
      <c r="C233" s="5"/>
      <c r="D233" s="5"/>
      <c r="E233" s="9"/>
      <c r="F233" s="5"/>
      <c r="H233" s="28"/>
      <c r="I233" s="5"/>
      <c r="J233" s="5"/>
      <c r="M233" s="28"/>
      <c r="O233" s="25"/>
      <c r="P233" s="25"/>
      <c r="Q233" s="25"/>
      <c r="R233" s="10"/>
      <c r="S233" s="10"/>
      <c r="T233" s="14"/>
    </row>
    <row r="234">
      <c r="A234" s="37"/>
      <c r="B234" s="5"/>
      <c r="C234" s="5"/>
      <c r="D234" s="5"/>
      <c r="E234" s="9"/>
      <c r="F234" s="5"/>
      <c r="H234" s="28"/>
      <c r="I234" s="5"/>
      <c r="J234" s="5"/>
      <c r="M234" s="28"/>
      <c r="O234" s="25"/>
      <c r="P234" s="25"/>
      <c r="Q234" s="25"/>
      <c r="R234" s="10"/>
      <c r="S234" s="10"/>
      <c r="T234" s="14"/>
    </row>
    <row r="235">
      <c r="A235" s="37"/>
      <c r="B235" s="5"/>
      <c r="C235" s="5"/>
      <c r="D235" s="5"/>
      <c r="E235" s="9"/>
      <c r="F235" s="5"/>
      <c r="H235" s="28"/>
      <c r="I235" s="5"/>
      <c r="J235" s="5"/>
      <c r="M235" s="28"/>
      <c r="O235" s="25"/>
      <c r="P235" s="25"/>
      <c r="Q235" s="25"/>
      <c r="R235" s="10"/>
      <c r="S235" s="10"/>
      <c r="T235" s="14"/>
    </row>
    <row r="236">
      <c r="A236" s="37"/>
      <c r="B236" s="5"/>
      <c r="C236" s="5"/>
      <c r="D236" s="5"/>
      <c r="E236" s="9"/>
      <c r="F236" s="5"/>
      <c r="H236" s="28"/>
      <c r="I236" s="5"/>
      <c r="J236" s="5"/>
      <c r="M236" s="28"/>
      <c r="O236" s="25"/>
      <c r="P236" s="25"/>
      <c r="Q236" s="25"/>
      <c r="R236" s="10"/>
      <c r="S236" s="10"/>
      <c r="T236" s="14"/>
    </row>
    <row r="237">
      <c r="A237" s="37"/>
      <c r="B237" s="5"/>
      <c r="C237" s="5"/>
      <c r="D237" s="5"/>
      <c r="E237" s="9"/>
      <c r="F237" s="5"/>
      <c r="H237" s="28"/>
      <c r="I237" s="5"/>
      <c r="J237" s="5"/>
      <c r="M237" s="28"/>
      <c r="O237" s="25"/>
      <c r="P237" s="25"/>
      <c r="Q237" s="25"/>
      <c r="R237" s="10"/>
      <c r="S237" s="10"/>
      <c r="T237" s="14"/>
    </row>
    <row r="238">
      <c r="A238" s="37"/>
      <c r="B238" s="5"/>
      <c r="C238" s="5"/>
      <c r="D238" s="5"/>
      <c r="E238" s="9"/>
      <c r="F238" s="5"/>
      <c r="H238" s="28"/>
      <c r="I238" s="5"/>
      <c r="J238" s="5"/>
      <c r="M238" s="28"/>
      <c r="O238" s="25"/>
      <c r="P238" s="25"/>
      <c r="Q238" s="25"/>
      <c r="R238" s="10"/>
      <c r="S238" s="10"/>
      <c r="T238" s="14"/>
    </row>
    <row r="239">
      <c r="A239" s="37"/>
      <c r="B239" s="5"/>
      <c r="C239" s="5"/>
      <c r="D239" s="5"/>
      <c r="E239" s="9"/>
      <c r="F239" s="5"/>
      <c r="H239" s="28"/>
      <c r="I239" s="5"/>
      <c r="J239" s="5"/>
      <c r="M239" s="28"/>
      <c r="O239" s="25"/>
      <c r="P239" s="25"/>
      <c r="Q239" s="25"/>
      <c r="R239" s="10"/>
      <c r="S239" s="10"/>
      <c r="T239" s="14"/>
    </row>
    <row r="240">
      <c r="A240" s="37"/>
      <c r="B240" s="5"/>
      <c r="C240" s="5"/>
      <c r="D240" s="5"/>
      <c r="E240" s="9"/>
      <c r="F240" s="5"/>
      <c r="H240" s="28"/>
      <c r="I240" s="5"/>
      <c r="J240" s="5"/>
      <c r="M240" s="28"/>
      <c r="O240" s="25"/>
      <c r="P240" s="25"/>
      <c r="Q240" s="25"/>
      <c r="R240" s="10"/>
      <c r="S240" s="10"/>
      <c r="T240" s="14"/>
    </row>
    <row r="241">
      <c r="A241" s="37"/>
      <c r="B241" s="5"/>
      <c r="C241" s="5"/>
      <c r="D241" s="5"/>
      <c r="E241" s="9"/>
      <c r="F241" s="5"/>
      <c r="H241" s="28"/>
      <c r="I241" s="5"/>
      <c r="J241" s="5"/>
      <c r="M241" s="28"/>
      <c r="O241" s="25"/>
      <c r="P241" s="25"/>
      <c r="Q241" s="25"/>
      <c r="R241" s="10"/>
      <c r="S241" s="10"/>
      <c r="T241" s="14"/>
    </row>
    <row r="242">
      <c r="A242" s="37"/>
      <c r="B242" s="5"/>
      <c r="C242" s="5"/>
      <c r="D242" s="5"/>
      <c r="E242" s="9"/>
      <c r="F242" s="5"/>
      <c r="H242" s="28"/>
      <c r="I242" s="5"/>
      <c r="J242" s="5"/>
      <c r="M242" s="28"/>
      <c r="O242" s="25"/>
      <c r="P242" s="25"/>
      <c r="Q242" s="25"/>
      <c r="R242" s="10"/>
      <c r="S242" s="10"/>
      <c r="T242" s="14"/>
    </row>
    <row r="243">
      <c r="A243" s="37"/>
      <c r="B243" s="5"/>
      <c r="C243" s="5"/>
      <c r="D243" s="5"/>
      <c r="E243" s="9"/>
      <c r="F243" s="5"/>
      <c r="H243" s="28"/>
      <c r="I243" s="5"/>
      <c r="J243" s="5"/>
      <c r="M243" s="28"/>
      <c r="O243" s="25"/>
      <c r="P243" s="25"/>
      <c r="Q243" s="25"/>
      <c r="R243" s="10"/>
      <c r="S243" s="10"/>
      <c r="T243" s="14"/>
    </row>
    <row r="244">
      <c r="A244" s="37"/>
      <c r="B244" s="5"/>
      <c r="C244" s="5"/>
      <c r="D244" s="5"/>
      <c r="E244" s="9"/>
      <c r="F244" s="5"/>
      <c r="H244" s="28"/>
      <c r="I244" s="5"/>
      <c r="J244" s="5"/>
      <c r="M244" s="28"/>
      <c r="O244" s="25"/>
      <c r="P244" s="25"/>
      <c r="Q244" s="25"/>
      <c r="R244" s="10"/>
      <c r="S244" s="10"/>
      <c r="T244" s="14"/>
    </row>
    <row r="245">
      <c r="A245" s="37"/>
      <c r="B245" s="5"/>
      <c r="C245" s="5"/>
      <c r="D245" s="5"/>
      <c r="E245" s="9"/>
      <c r="F245" s="5"/>
      <c r="H245" s="28"/>
      <c r="I245" s="5"/>
      <c r="J245" s="5"/>
      <c r="M245" s="28"/>
      <c r="O245" s="25"/>
      <c r="P245" s="25"/>
      <c r="Q245" s="25"/>
      <c r="R245" s="10"/>
      <c r="S245" s="10"/>
      <c r="T245" s="14"/>
    </row>
    <row r="246">
      <c r="A246" s="37"/>
      <c r="B246" s="5"/>
      <c r="C246" s="5"/>
      <c r="D246" s="5"/>
      <c r="E246" s="9"/>
      <c r="F246" s="5"/>
      <c r="H246" s="28"/>
      <c r="I246" s="5"/>
      <c r="J246" s="5"/>
      <c r="M246" s="28"/>
      <c r="O246" s="25"/>
      <c r="P246" s="25"/>
      <c r="Q246" s="25"/>
      <c r="R246" s="10"/>
      <c r="S246" s="10"/>
      <c r="T246" s="14"/>
    </row>
    <row r="247">
      <c r="A247" s="37"/>
      <c r="B247" s="5"/>
      <c r="C247" s="5"/>
      <c r="D247" s="5"/>
      <c r="E247" s="9"/>
      <c r="F247" s="5"/>
      <c r="H247" s="28"/>
      <c r="I247" s="5"/>
      <c r="J247" s="5"/>
      <c r="M247" s="28"/>
      <c r="O247" s="25"/>
      <c r="P247" s="25"/>
      <c r="Q247" s="25"/>
      <c r="R247" s="10"/>
      <c r="S247" s="10"/>
      <c r="T247" s="14"/>
    </row>
    <row r="248">
      <c r="A248" s="37"/>
      <c r="B248" s="5"/>
      <c r="C248" s="5"/>
      <c r="D248" s="5"/>
      <c r="E248" s="9"/>
      <c r="F248" s="5"/>
      <c r="H248" s="28"/>
      <c r="I248" s="5"/>
      <c r="J248" s="5"/>
      <c r="M248" s="28"/>
      <c r="O248" s="25"/>
      <c r="P248" s="25"/>
      <c r="Q248" s="25"/>
      <c r="R248" s="10"/>
      <c r="S248" s="10"/>
      <c r="T248" s="14"/>
    </row>
    <row r="249">
      <c r="A249" s="37"/>
      <c r="B249" s="5"/>
      <c r="C249" s="5"/>
      <c r="D249" s="5"/>
      <c r="E249" s="9"/>
      <c r="F249" s="5"/>
      <c r="H249" s="28"/>
      <c r="I249" s="5"/>
      <c r="J249" s="5"/>
      <c r="M249" s="28"/>
      <c r="O249" s="25"/>
      <c r="P249" s="25"/>
      <c r="Q249" s="25"/>
      <c r="R249" s="10"/>
      <c r="S249" s="10"/>
      <c r="T249" s="14"/>
    </row>
    <row r="250">
      <c r="A250" s="37"/>
      <c r="B250" s="5"/>
      <c r="C250" s="5"/>
      <c r="D250" s="5"/>
      <c r="E250" s="9"/>
      <c r="F250" s="5"/>
      <c r="H250" s="28"/>
      <c r="I250" s="5"/>
      <c r="J250" s="5"/>
      <c r="M250" s="28"/>
      <c r="O250" s="25"/>
      <c r="P250" s="25"/>
      <c r="Q250" s="25"/>
      <c r="R250" s="10"/>
      <c r="S250" s="10"/>
      <c r="T250" s="14"/>
    </row>
    <row r="251">
      <c r="A251" s="37"/>
      <c r="B251" s="5"/>
      <c r="C251" s="5"/>
      <c r="D251" s="5"/>
      <c r="E251" s="9"/>
      <c r="F251" s="5"/>
      <c r="H251" s="28"/>
      <c r="I251" s="5"/>
      <c r="J251" s="5"/>
      <c r="M251" s="28"/>
      <c r="O251" s="25"/>
      <c r="P251" s="25"/>
      <c r="Q251" s="25"/>
      <c r="R251" s="10"/>
      <c r="S251" s="10"/>
      <c r="T251" s="14"/>
    </row>
    <row r="252">
      <c r="A252" s="37"/>
      <c r="B252" s="5"/>
      <c r="C252" s="5"/>
      <c r="D252" s="5"/>
      <c r="E252" s="9"/>
      <c r="F252" s="5"/>
      <c r="H252" s="28"/>
      <c r="I252" s="5"/>
      <c r="J252" s="5"/>
      <c r="M252" s="28"/>
      <c r="O252" s="25"/>
      <c r="P252" s="25"/>
      <c r="Q252" s="25"/>
      <c r="R252" s="10"/>
      <c r="S252" s="10"/>
      <c r="T252" s="14"/>
    </row>
    <row r="253">
      <c r="A253" s="37"/>
      <c r="B253" s="5"/>
      <c r="C253" s="5"/>
      <c r="D253" s="5"/>
      <c r="E253" s="9"/>
      <c r="F253" s="5"/>
      <c r="H253" s="28"/>
      <c r="I253" s="5"/>
      <c r="J253" s="5"/>
      <c r="M253" s="28"/>
      <c r="O253" s="25"/>
      <c r="P253" s="25"/>
      <c r="Q253" s="25"/>
      <c r="R253" s="10"/>
      <c r="S253" s="10"/>
      <c r="T253" s="14"/>
    </row>
    <row r="254">
      <c r="A254" s="37"/>
      <c r="B254" s="5"/>
      <c r="C254" s="5"/>
      <c r="D254" s="5"/>
      <c r="E254" s="9"/>
      <c r="F254" s="5"/>
      <c r="H254" s="28"/>
      <c r="I254" s="5"/>
      <c r="J254" s="5"/>
      <c r="M254" s="28"/>
      <c r="O254" s="25"/>
      <c r="P254" s="25"/>
      <c r="Q254" s="25"/>
      <c r="R254" s="10"/>
      <c r="S254" s="10"/>
      <c r="T254" s="14"/>
    </row>
    <row r="255">
      <c r="A255" s="37"/>
      <c r="B255" s="5"/>
      <c r="C255" s="5"/>
      <c r="D255" s="5"/>
      <c r="E255" s="9"/>
      <c r="F255" s="5"/>
      <c r="H255" s="28"/>
      <c r="I255" s="5"/>
      <c r="J255" s="5"/>
      <c r="M255" s="28"/>
      <c r="O255" s="25"/>
      <c r="P255" s="25"/>
      <c r="Q255" s="25"/>
      <c r="R255" s="10"/>
      <c r="S255" s="10"/>
      <c r="T255" s="14"/>
    </row>
    <row r="256">
      <c r="A256" s="37"/>
      <c r="B256" s="5"/>
      <c r="C256" s="5"/>
      <c r="D256" s="5"/>
      <c r="E256" s="9"/>
      <c r="F256" s="5"/>
      <c r="H256" s="28"/>
      <c r="I256" s="5"/>
      <c r="J256" s="5"/>
      <c r="M256" s="28"/>
      <c r="O256" s="25"/>
      <c r="P256" s="25"/>
      <c r="Q256" s="25"/>
      <c r="R256" s="10"/>
      <c r="S256" s="10"/>
      <c r="T256" s="14"/>
    </row>
    <row r="257">
      <c r="A257" s="37"/>
      <c r="B257" s="5"/>
      <c r="C257" s="5"/>
      <c r="D257" s="5"/>
      <c r="E257" s="9"/>
      <c r="F257" s="5"/>
      <c r="H257" s="28"/>
      <c r="I257" s="5"/>
      <c r="J257" s="5"/>
      <c r="M257" s="28"/>
      <c r="O257" s="25"/>
      <c r="P257" s="25"/>
      <c r="Q257" s="25"/>
      <c r="R257" s="10"/>
      <c r="S257" s="10"/>
      <c r="T257" s="14"/>
    </row>
    <row r="258">
      <c r="A258" s="37"/>
      <c r="B258" s="5"/>
      <c r="C258" s="5"/>
      <c r="D258" s="5"/>
      <c r="E258" s="9"/>
      <c r="F258" s="5"/>
      <c r="H258" s="28"/>
      <c r="I258" s="5"/>
      <c r="J258" s="5"/>
      <c r="M258" s="28"/>
      <c r="O258" s="25"/>
      <c r="P258" s="25"/>
      <c r="Q258" s="25"/>
      <c r="R258" s="10"/>
      <c r="S258" s="10"/>
      <c r="T258" s="14"/>
    </row>
    <row r="259">
      <c r="A259" s="37"/>
      <c r="B259" s="5"/>
      <c r="C259" s="5"/>
      <c r="D259" s="5"/>
      <c r="E259" s="9"/>
      <c r="F259" s="5"/>
      <c r="H259" s="28"/>
      <c r="I259" s="5"/>
      <c r="J259" s="5"/>
      <c r="M259" s="28"/>
      <c r="O259" s="25"/>
      <c r="P259" s="25"/>
      <c r="Q259" s="25"/>
      <c r="R259" s="10"/>
      <c r="S259" s="10"/>
      <c r="T259" s="14"/>
    </row>
    <row r="260">
      <c r="A260" s="37"/>
      <c r="B260" s="5"/>
      <c r="C260" s="5"/>
      <c r="D260" s="5"/>
      <c r="E260" s="9"/>
      <c r="F260" s="5"/>
      <c r="H260" s="28"/>
      <c r="I260" s="5"/>
      <c r="J260" s="5"/>
      <c r="M260" s="28"/>
      <c r="O260" s="25"/>
      <c r="P260" s="25"/>
      <c r="Q260" s="25"/>
      <c r="R260" s="10"/>
      <c r="S260" s="10"/>
      <c r="T260" s="14"/>
    </row>
    <row r="261">
      <c r="A261" s="37"/>
      <c r="B261" s="5"/>
      <c r="C261" s="5"/>
      <c r="D261" s="5"/>
      <c r="E261" s="9"/>
      <c r="F261" s="5"/>
      <c r="H261" s="28"/>
      <c r="I261" s="5"/>
      <c r="J261" s="5"/>
      <c r="M261" s="28"/>
      <c r="O261" s="25"/>
      <c r="P261" s="25"/>
      <c r="Q261" s="25"/>
      <c r="R261" s="10"/>
      <c r="S261" s="10"/>
      <c r="T261" s="14"/>
    </row>
    <row r="262">
      <c r="A262" s="37"/>
      <c r="B262" s="5"/>
      <c r="C262" s="5"/>
      <c r="D262" s="5"/>
      <c r="E262" s="9"/>
      <c r="F262" s="5"/>
      <c r="H262" s="28"/>
      <c r="I262" s="5"/>
      <c r="J262" s="5"/>
      <c r="M262" s="28"/>
      <c r="O262" s="25"/>
      <c r="P262" s="25"/>
      <c r="Q262" s="25"/>
      <c r="R262" s="10"/>
      <c r="S262" s="10"/>
      <c r="T262" s="14"/>
    </row>
    <row r="263">
      <c r="A263" s="37"/>
      <c r="B263" s="5"/>
      <c r="C263" s="5"/>
      <c r="D263" s="5"/>
      <c r="E263" s="9"/>
      <c r="F263" s="5"/>
      <c r="H263" s="28"/>
      <c r="I263" s="5"/>
      <c r="J263" s="5"/>
      <c r="M263" s="28"/>
      <c r="O263" s="25"/>
      <c r="P263" s="25"/>
      <c r="Q263" s="25"/>
      <c r="R263" s="10"/>
      <c r="S263" s="10"/>
      <c r="T263" s="14"/>
    </row>
    <row r="264">
      <c r="A264" s="37"/>
      <c r="B264" s="5"/>
      <c r="C264" s="5"/>
      <c r="D264" s="5"/>
      <c r="E264" s="9"/>
      <c r="F264" s="5"/>
      <c r="H264" s="28"/>
      <c r="I264" s="5"/>
      <c r="J264" s="5"/>
      <c r="M264" s="28"/>
      <c r="O264" s="25"/>
      <c r="P264" s="25"/>
      <c r="Q264" s="25"/>
      <c r="R264" s="10"/>
      <c r="S264" s="10"/>
      <c r="T264" s="14"/>
    </row>
    <row r="265">
      <c r="A265" s="37"/>
      <c r="B265" s="5"/>
      <c r="C265" s="5"/>
      <c r="D265" s="5"/>
      <c r="E265" s="9"/>
      <c r="F265" s="5"/>
      <c r="H265" s="28"/>
      <c r="I265" s="5"/>
      <c r="J265" s="5"/>
      <c r="M265" s="28"/>
      <c r="O265" s="25"/>
      <c r="P265" s="25"/>
      <c r="Q265" s="25"/>
      <c r="R265" s="10"/>
      <c r="S265" s="10"/>
      <c r="T265" s="14"/>
    </row>
    <row r="266">
      <c r="A266" s="37"/>
      <c r="B266" s="5"/>
      <c r="C266" s="5"/>
      <c r="D266" s="5"/>
      <c r="E266" s="9"/>
      <c r="F266" s="5"/>
      <c r="H266" s="28"/>
      <c r="I266" s="5"/>
      <c r="J266" s="5"/>
      <c r="M266" s="28"/>
      <c r="O266" s="25"/>
      <c r="P266" s="25"/>
      <c r="Q266" s="25"/>
      <c r="R266" s="10"/>
      <c r="S266" s="10"/>
      <c r="T266" s="14"/>
    </row>
    <row r="267">
      <c r="A267" s="37"/>
      <c r="B267" s="5"/>
      <c r="C267" s="5"/>
      <c r="D267" s="5"/>
      <c r="E267" s="9"/>
      <c r="F267" s="5"/>
      <c r="H267" s="28"/>
      <c r="I267" s="5"/>
      <c r="J267" s="5"/>
      <c r="M267" s="28"/>
      <c r="O267" s="25"/>
      <c r="P267" s="25"/>
      <c r="Q267" s="25"/>
      <c r="R267" s="10"/>
      <c r="S267" s="10"/>
      <c r="T267" s="14"/>
    </row>
    <row r="268">
      <c r="A268" s="37"/>
      <c r="B268" s="5"/>
      <c r="C268" s="5"/>
      <c r="D268" s="5"/>
      <c r="E268" s="9"/>
      <c r="F268" s="5"/>
      <c r="H268" s="28"/>
      <c r="I268" s="5"/>
      <c r="J268" s="5"/>
      <c r="M268" s="28"/>
      <c r="O268" s="25"/>
      <c r="P268" s="25"/>
      <c r="Q268" s="25"/>
      <c r="R268" s="10"/>
      <c r="S268" s="10"/>
      <c r="T268" s="14"/>
    </row>
    <row r="269">
      <c r="A269" s="37"/>
      <c r="B269" s="5"/>
      <c r="C269" s="5"/>
      <c r="D269" s="5"/>
      <c r="E269" s="9"/>
      <c r="F269" s="5"/>
      <c r="H269" s="28"/>
      <c r="I269" s="5"/>
      <c r="J269" s="5"/>
      <c r="M269" s="28"/>
      <c r="O269" s="25"/>
      <c r="P269" s="25"/>
      <c r="Q269" s="25"/>
      <c r="R269" s="10"/>
      <c r="S269" s="10"/>
      <c r="T269" s="14"/>
    </row>
    <row r="270">
      <c r="A270" s="37"/>
      <c r="B270" s="5"/>
      <c r="C270" s="5"/>
      <c r="D270" s="5"/>
      <c r="E270" s="9"/>
      <c r="F270" s="5"/>
      <c r="H270" s="28"/>
      <c r="I270" s="5"/>
      <c r="J270" s="5"/>
      <c r="M270" s="28"/>
      <c r="O270" s="25"/>
      <c r="P270" s="25"/>
      <c r="Q270" s="25"/>
      <c r="R270" s="10"/>
      <c r="S270" s="10"/>
      <c r="T270" s="14"/>
    </row>
    <row r="271">
      <c r="A271" s="37"/>
      <c r="B271" s="5"/>
      <c r="C271" s="5"/>
      <c r="D271" s="5"/>
      <c r="E271" s="9"/>
      <c r="F271" s="5"/>
      <c r="H271" s="28"/>
      <c r="I271" s="5"/>
      <c r="J271" s="5"/>
      <c r="M271" s="28"/>
      <c r="O271" s="25"/>
      <c r="P271" s="25"/>
      <c r="Q271" s="25"/>
      <c r="R271" s="10"/>
      <c r="S271" s="10"/>
      <c r="T271" s="14"/>
    </row>
    <row r="272">
      <c r="A272" s="37"/>
      <c r="B272" s="5"/>
      <c r="C272" s="5"/>
      <c r="D272" s="5"/>
      <c r="E272" s="9"/>
      <c r="F272" s="5"/>
      <c r="H272" s="28"/>
      <c r="I272" s="5"/>
      <c r="J272" s="5"/>
      <c r="M272" s="28"/>
      <c r="O272" s="25"/>
      <c r="P272" s="25"/>
      <c r="Q272" s="25"/>
      <c r="R272" s="10"/>
      <c r="S272" s="10"/>
      <c r="T272" s="14"/>
    </row>
    <row r="273">
      <c r="A273" s="37"/>
      <c r="B273" s="5"/>
      <c r="C273" s="5"/>
      <c r="D273" s="5"/>
      <c r="E273" s="9"/>
      <c r="F273" s="5"/>
      <c r="H273" s="28"/>
      <c r="I273" s="5"/>
      <c r="J273" s="5"/>
      <c r="M273" s="28"/>
      <c r="O273" s="25"/>
      <c r="P273" s="25"/>
      <c r="Q273" s="25"/>
      <c r="R273" s="10"/>
      <c r="S273" s="10"/>
      <c r="T273" s="14"/>
    </row>
    <row r="274">
      <c r="A274" s="37"/>
      <c r="B274" s="5"/>
      <c r="C274" s="5"/>
      <c r="D274" s="5"/>
      <c r="E274" s="9"/>
      <c r="F274" s="5"/>
      <c r="H274" s="28"/>
      <c r="I274" s="5"/>
      <c r="J274" s="5"/>
      <c r="M274" s="28"/>
      <c r="O274" s="25"/>
      <c r="P274" s="25"/>
      <c r="Q274" s="25"/>
      <c r="R274" s="10"/>
      <c r="S274" s="10"/>
      <c r="T274" s="14"/>
    </row>
    <row r="275">
      <c r="A275" s="37"/>
      <c r="B275" s="5"/>
      <c r="C275" s="5"/>
      <c r="D275" s="5"/>
      <c r="E275" s="9"/>
      <c r="F275" s="5"/>
      <c r="H275" s="28"/>
      <c r="I275" s="5"/>
      <c r="J275" s="5"/>
      <c r="M275" s="28"/>
      <c r="O275" s="25"/>
      <c r="P275" s="25"/>
      <c r="Q275" s="25"/>
      <c r="R275" s="10"/>
      <c r="S275" s="10"/>
      <c r="T275" s="14"/>
    </row>
    <row r="276">
      <c r="A276" s="37"/>
      <c r="B276" s="5"/>
      <c r="C276" s="5"/>
      <c r="D276" s="5"/>
      <c r="E276" s="9"/>
      <c r="F276" s="5"/>
      <c r="H276" s="28"/>
      <c r="I276" s="5"/>
      <c r="J276" s="5"/>
      <c r="M276" s="28"/>
      <c r="O276" s="25"/>
      <c r="P276" s="25"/>
      <c r="Q276" s="25"/>
      <c r="R276" s="10"/>
      <c r="S276" s="10"/>
      <c r="T276" s="14"/>
    </row>
    <row r="277">
      <c r="A277" s="37"/>
      <c r="B277" s="5"/>
      <c r="C277" s="5"/>
      <c r="D277" s="5"/>
      <c r="E277" s="9"/>
      <c r="F277" s="5"/>
      <c r="H277" s="28"/>
      <c r="I277" s="5"/>
      <c r="J277" s="5"/>
      <c r="M277" s="28"/>
      <c r="O277" s="25"/>
      <c r="P277" s="25"/>
      <c r="Q277" s="25"/>
      <c r="R277" s="10"/>
      <c r="S277" s="10"/>
      <c r="T277" s="14"/>
    </row>
    <row r="278">
      <c r="A278" s="37"/>
      <c r="B278" s="5"/>
      <c r="C278" s="5"/>
      <c r="D278" s="5"/>
      <c r="E278" s="9"/>
      <c r="F278" s="5"/>
      <c r="H278" s="28"/>
      <c r="I278" s="5"/>
      <c r="J278" s="5"/>
      <c r="M278" s="28"/>
      <c r="O278" s="25"/>
      <c r="P278" s="25"/>
      <c r="Q278" s="25"/>
      <c r="R278" s="10"/>
      <c r="S278" s="10"/>
      <c r="T278" s="14"/>
    </row>
    <row r="279">
      <c r="A279" s="37"/>
      <c r="B279" s="5"/>
      <c r="C279" s="5"/>
      <c r="D279" s="5"/>
      <c r="E279" s="9"/>
      <c r="F279" s="5"/>
      <c r="H279" s="28"/>
      <c r="I279" s="5"/>
      <c r="J279" s="5"/>
      <c r="M279" s="28"/>
      <c r="O279" s="25"/>
      <c r="P279" s="25"/>
      <c r="Q279" s="25"/>
      <c r="R279" s="10"/>
      <c r="S279" s="10"/>
      <c r="T279" s="14"/>
    </row>
    <row r="280">
      <c r="A280" s="37"/>
      <c r="B280" s="5"/>
      <c r="C280" s="5"/>
      <c r="D280" s="5"/>
      <c r="E280" s="9"/>
      <c r="F280" s="5"/>
      <c r="H280" s="28"/>
      <c r="I280" s="5"/>
      <c r="J280" s="5"/>
      <c r="M280" s="28"/>
      <c r="O280" s="25"/>
      <c r="P280" s="25"/>
      <c r="Q280" s="25"/>
      <c r="R280" s="10"/>
      <c r="S280" s="10"/>
      <c r="T280" s="14"/>
    </row>
    <row r="281">
      <c r="A281" s="37"/>
      <c r="B281" s="5"/>
      <c r="C281" s="5"/>
      <c r="D281" s="5"/>
      <c r="E281" s="9"/>
      <c r="F281" s="5"/>
      <c r="H281" s="28"/>
      <c r="I281" s="5"/>
      <c r="J281" s="5"/>
      <c r="M281" s="28"/>
      <c r="O281" s="25"/>
      <c r="P281" s="25"/>
      <c r="Q281" s="25"/>
      <c r="R281" s="10"/>
      <c r="S281" s="10"/>
      <c r="T281" s="14"/>
    </row>
    <row r="282">
      <c r="A282" s="37"/>
      <c r="B282" s="5"/>
      <c r="C282" s="5"/>
      <c r="D282" s="5"/>
      <c r="E282" s="9"/>
      <c r="F282" s="5"/>
      <c r="H282" s="28"/>
      <c r="I282" s="5"/>
      <c r="J282" s="5"/>
      <c r="M282" s="28"/>
      <c r="O282" s="25"/>
      <c r="P282" s="25"/>
      <c r="Q282" s="25"/>
      <c r="R282" s="10"/>
      <c r="S282" s="10"/>
      <c r="T282" s="14"/>
    </row>
    <row r="283">
      <c r="A283" s="37"/>
      <c r="B283" s="5"/>
      <c r="C283" s="5"/>
      <c r="D283" s="5"/>
      <c r="E283" s="9"/>
      <c r="F283" s="5"/>
      <c r="H283" s="28"/>
      <c r="I283" s="5"/>
      <c r="J283" s="5"/>
      <c r="M283" s="28"/>
      <c r="O283" s="25"/>
      <c r="P283" s="25"/>
      <c r="Q283" s="25"/>
      <c r="R283" s="10"/>
      <c r="S283" s="10"/>
      <c r="T283" s="14"/>
    </row>
    <row r="284">
      <c r="A284" s="37"/>
      <c r="B284" s="5"/>
      <c r="C284" s="5"/>
      <c r="D284" s="5"/>
      <c r="E284" s="9"/>
      <c r="F284" s="5"/>
      <c r="H284" s="28"/>
      <c r="I284" s="5"/>
      <c r="J284" s="5"/>
      <c r="M284" s="28"/>
      <c r="O284" s="25"/>
      <c r="P284" s="25"/>
      <c r="Q284" s="25"/>
      <c r="R284" s="10"/>
      <c r="S284" s="10"/>
      <c r="T284" s="14"/>
    </row>
    <row r="285">
      <c r="A285" s="37"/>
      <c r="B285" s="5"/>
      <c r="C285" s="5"/>
      <c r="D285" s="5"/>
      <c r="E285" s="9"/>
      <c r="F285" s="5"/>
      <c r="H285" s="28"/>
      <c r="I285" s="5"/>
      <c r="J285" s="5"/>
      <c r="M285" s="28"/>
      <c r="O285" s="25"/>
      <c r="P285" s="25"/>
      <c r="Q285" s="25"/>
      <c r="R285" s="10"/>
      <c r="S285" s="10"/>
      <c r="T285" s="14"/>
    </row>
    <row r="286">
      <c r="A286" s="37"/>
      <c r="B286" s="5"/>
      <c r="C286" s="5"/>
      <c r="D286" s="5"/>
      <c r="E286" s="9"/>
      <c r="F286" s="5"/>
      <c r="H286" s="28"/>
      <c r="I286" s="5"/>
      <c r="J286" s="5"/>
      <c r="M286" s="28"/>
      <c r="O286" s="25"/>
      <c r="P286" s="25"/>
      <c r="Q286" s="25"/>
      <c r="R286" s="10"/>
      <c r="S286" s="10"/>
      <c r="T286" s="14"/>
    </row>
    <row r="287">
      <c r="A287" s="37"/>
      <c r="B287" s="5"/>
      <c r="C287" s="5"/>
      <c r="D287" s="5"/>
      <c r="E287" s="9"/>
      <c r="F287" s="5"/>
      <c r="H287" s="28"/>
      <c r="I287" s="5"/>
      <c r="J287" s="5"/>
      <c r="M287" s="28"/>
      <c r="O287" s="25"/>
      <c r="P287" s="25"/>
      <c r="Q287" s="25"/>
      <c r="R287" s="10"/>
      <c r="S287" s="10"/>
      <c r="T287" s="14"/>
    </row>
    <row r="288">
      <c r="A288" s="37"/>
      <c r="B288" s="5"/>
      <c r="C288" s="5"/>
      <c r="D288" s="5"/>
      <c r="E288" s="9"/>
      <c r="F288" s="5"/>
      <c r="H288" s="28"/>
      <c r="I288" s="5"/>
      <c r="J288" s="5"/>
      <c r="M288" s="28"/>
      <c r="O288" s="25"/>
      <c r="P288" s="25"/>
      <c r="Q288" s="25"/>
      <c r="R288" s="10"/>
      <c r="S288" s="10"/>
      <c r="T288" s="14"/>
    </row>
    <row r="289">
      <c r="A289" s="37"/>
      <c r="B289" s="5"/>
      <c r="C289" s="5"/>
      <c r="D289" s="5"/>
      <c r="E289" s="9"/>
      <c r="F289" s="5"/>
      <c r="H289" s="28"/>
      <c r="I289" s="5"/>
      <c r="J289" s="5"/>
      <c r="M289" s="28"/>
      <c r="O289" s="25"/>
      <c r="P289" s="25"/>
      <c r="Q289" s="25"/>
      <c r="R289" s="10"/>
      <c r="S289" s="10"/>
      <c r="T289" s="14"/>
    </row>
    <row r="290">
      <c r="A290" s="37"/>
      <c r="B290" s="5"/>
      <c r="C290" s="5"/>
      <c r="D290" s="5"/>
      <c r="E290" s="9"/>
      <c r="F290" s="5"/>
      <c r="H290" s="28"/>
      <c r="I290" s="5"/>
      <c r="J290" s="5"/>
      <c r="M290" s="28"/>
      <c r="O290" s="25"/>
      <c r="P290" s="25"/>
      <c r="Q290" s="25"/>
      <c r="R290" s="10"/>
      <c r="S290" s="10"/>
      <c r="T290" s="14"/>
    </row>
    <row r="291">
      <c r="A291" s="37"/>
      <c r="B291" s="5"/>
      <c r="C291" s="5"/>
      <c r="D291" s="5"/>
      <c r="E291" s="9"/>
      <c r="F291" s="5"/>
      <c r="H291" s="28"/>
      <c r="I291" s="5"/>
      <c r="J291" s="5"/>
      <c r="M291" s="28"/>
      <c r="O291" s="25"/>
      <c r="P291" s="25"/>
      <c r="Q291" s="25"/>
      <c r="R291" s="10"/>
      <c r="S291" s="10"/>
      <c r="T291" s="14"/>
    </row>
    <row r="292">
      <c r="A292" s="37"/>
      <c r="B292" s="5"/>
      <c r="C292" s="5"/>
      <c r="D292" s="5"/>
      <c r="E292" s="9"/>
      <c r="F292" s="5"/>
      <c r="H292" s="28"/>
      <c r="I292" s="5"/>
      <c r="J292" s="5"/>
      <c r="M292" s="28"/>
      <c r="O292" s="25"/>
      <c r="P292" s="25"/>
      <c r="Q292" s="25"/>
      <c r="R292" s="10"/>
      <c r="S292" s="10"/>
      <c r="T292" s="14"/>
    </row>
    <row r="293">
      <c r="A293" s="37"/>
      <c r="B293" s="5"/>
      <c r="C293" s="5"/>
      <c r="D293" s="5"/>
      <c r="E293" s="9"/>
      <c r="F293" s="5"/>
      <c r="H293" s="28"/>
      <c r="I293" s="5"/>
      <c r="J293" s="5"/>
      <c r="M293" s="28"/>
      <c r="O293" s="25"/>
      <c r="P293" s="25"/>
      <c r="Q293" s="25"/>
      <c r="R293" s="10"/>
      <c r="S293" s="10"/>
      <c r="T293" s="14"/>
    </row>
    <row r="294">
      <c r="A294" s="37"/>
      <c r="B294" s="5"/>
      <c r="C294" s="5"/>
      <c r="D294" s="5"/>
      <c r="E294" s="9"/>
      <c r="F294" s="5"/>
      <c r="H294" s="28"/>
      <c r="I294" s="5"/>
      <c r="J294" s="5"/>
      <c r="M294" s="28"/>
      <c r="O294" s="25"/>
      <c r="P294" s="25"/>
      <c r="Q294" s="25"/>
      <c r="R294" s="10"/>
      <c r="S294" s="10"/>
      <c r="T294" s="14"/>
    </row>
    <row r="295">
      <c r="A295" s="37"/>
      <c r="B295" s="5"/>
      <c r="C295" s="5"/>
      <c r="D295" s="5"/>
      <c r="E295" s="9"/>
      <c r="F295" s="5"/>
      <c r="H295" s="28"/>
      <c r="I295" s="5"/>
      <c r="J295" s="5"/>
      <c r="M295" s="28"/>
      <c r="O295" s="25"/>
      <c r="P295" s="25"/>
      <c r="Q295" s="25"/>
      <c r="R295" s="10"/>
      <c r="S295" s="10"/>
      <c r="T295" s="14"/>
    </row>
    <row r="296">
      <c r="A296" s="37"/>
      <c r="B296" s="5"/>
      <c r="C296" s="5"/>
      <c r="D296" s="5"/>
      <c r="E296" s="9"/>
      <c r="F296" s="5"/>
      <c r="H296" s="28"/>
      <c r="I296" s="5"/>
      <c r="J296" s="5"/>
      <c r="M296" s="28"/>
      <c r="O296" s="25"/>
      <c r="P296" s="25"/>
      <c r="Q296" s="25"/>
      <c r="R296" s="10"/>
      <c r="S296" s="10"/>
      <c r="T296" s="14"/>
    </row>
    <row r="297">
      <c r="A297" s="37"/>
      <c r="B297" s="5"/>
      <c r="C297" s="5"/>
      <c r="D297" s="5"/>
      <c r="E297" s="9"/>
      <c r="F297" s="5"/>
      <c r="H297" s="28"/>
      <c r="I297" s="5"/>
      <c r="J297" s="5"/>
      <c r="M297" s="28"/>
      <c r="O297" s="25"/>
      <c r="P297" s="25"/>
      <c r="Q297" s="25"/>
      <c r="R297" s="10"/>
      <c r="S297" s="10"/>
      <c r="T297" s="14"/>
    </row>
    <row r="298">
      <c r="A298" s="37"/>
      <c r="B298" s="5"/>
      <c r="C298" s="5"/>
      <c r="D298" s="5"/>
      <c r="E298" s="9"/>
      <c r="F298" s="5"/>
      <c r="H298" s="28"/>
      <c r="I298" s="5"/>
      <c r="J298" s="5"/>
      <c r="M298" s="28"/>
      <c r="O298" s="25"/>
      <c r="P298" s="25"/>
      <c r="Q298" s="25"/>
      <c r="R298" s="10"/>
      <c r="S298" s="10"/>
      <c r="T298" s="14"/>
    </row>
    <row r="299">
      <c r="A299" s="37"/>
      <c r="B299" s="5"/>
      <c r="C299" s="5"/>
      <c r="D299" s="5"/>
      <c r="E299" s="9"/>
      <c r="F299" s="5"/>
      <c r="H299" s="28"/>
      <c r="I299" s="5"/>
      <c r="J299" s="5"/>
      <c r="M299" s="28"/>
      <c r="O299" s="25"/>
      <c r="P299" s="25"/>
      <c r="Q299" s="25"/>
      <c r="R299" s="10"/>
      <c r="S299" s="10"/>
      <c r="T299" s="14"/>
    </row>
    <row r="300">
      <c r="A300" s="37"/>
      <c r="B300" s="5"/>
      <c r="C300" s="5"/>
      <c r="D300" s="5"/>
      <c r="E300" s="9"/>
      <c r="F300" s="5"/>
      <c r="H300" s="28"/>
      <c r="I300" s="5"/>
      <c r="J300" s="5"/>
      <c r="M300" s="28"/>
      <c r="O300" s="25"/>
      <c r="P300" s="25"/>
      <c r="Q300" s="25"/>
      <c r="R300" s="10"/>
      <c r="S300" s="10"/>
      <c r="T300" s="14"/>
    </row>
    <row r="301">
      <c r="A301" s="37"/>
      <c r="B301" s="5"/>
      <c r="C301" s="5"/>
      <c r="D301" s="5"/>
      <c r="E301" s="9"/>
      <c r="F301" s="5"/>
      <c r="H301" s="28"/>
      <c r="I301" s="5"/>
      <c r="J301" s="5"/>
      <c r="M301" s="28"/>
      <c r="O301" s="25"/>
      <c r="P301" s="25"/>
      <c r="Q301" s="25"/>
      <c r="R301" s="10"/>
      <c r="S301" s="10"/>
      <c r="T301" s="14"/>
    </row>
    <row r="302">
      <c r="A302" s="37"/>
      <c r="B302" s="5"/>
      <c r="C302" s="5"/>
      <c r="D302" s="5"/>
      <c r="E302" s="9"/>
      <c r="F302" s="5"/>
      <c r="H302" s="28"/>
      <c r="I302" s="5"/>
      <c r="J302" s="5"/>
      <c r="M302" s="28"/>
      <c r="O302" s="25"/>
      <c r="P302" s="25"/>
      <c r="Q302" s="25"/>
      <c r="R302" s="10"/>
      <c r="S302" s="10"/>
      <c r="T302" s="14"/>
    </row>
    <row r="303">
      <c r="A303" s="37"/>
      <c r="B303" s="5"/>
      <c r="C303" s="5"/>
      <c r="D303" s="5"/>
      <c r="E303" s="9"/>
      <c r="F303" s="5"/>
      <c r="H303" s="28"/>
      <c r="I303" s="5"/>
      <c r="J303" s="5"/>
      <c r="M303" s="28"/>
      <c r="O303" s="25"/>
      <c r="P303" s="25"/>
      <c r="Q303" s="25"/>
      <c r="R303" s="10"/>
      <c r="S303" s="10"/>
      <c r="T303" s="14"/>
    </row>
    <row r="304">
      <c r="A304" s="37"/>
      <c r="B304" s="5"/>
      <c r="C304" s="5"/>
      <c r="D304" s="5"/>
      <c r="E304" s="9"/>
      <c r="F304" s="5"/>
      <c r="H304" s="28"/>
      <c r="I304" s="5"/>
      <c r="J304" s="5"/>
      <c r="M304" s="28"/>
      <c r="O304" s="25"/>
      <c r="P304" s="25"/>
      <c r="Q304" s="25"/>
      <c r="R304" s="10"/>
      <c r="S304" s="10"/>
      <c r="T304" s="14"/>
    </row>
    <row r="305">
      <c r="A305" s="37"/>
      <c r="B305" s="5"/>
      <c r="C305" s="5"/>
      <c r="D305" s="5"/>
      <c r="E305" s="9"/>
      <c r="F305" s="5"/>
      <c r="H305" s="28"/>
      <c r="I305" s="5"/>
      <c r="J305" s="5"/>
      <c r="M305" s="28"/>
      <c r="O305" s="25"/>
      <c r="P305" s="25"/>
      <c r="Q305" s="25"/>
      <c r="R305" s="10"/>
      <c r="S305" s="10"/>
      <c r="T305" s="14"/>
    </row>
    <row r="306">
      <c r="A306" s="37"/>
      <c r="B306" s="5"/>
      <c r="C306" s="5"/>
      <c r="D306" s="5"/>
      <c r="E306" s="9"/>
      <c r="F306" s="5"/>
      <c r="H306" s="28"/>
      <c r="I306" s="5"/>
      <c r="J306" s="5"/>
      <c r="M306" s="28"/>
      <c r="O306" s="25"/>
      <c r="P306" s="25"/>
      <c r="Q306" s="25"/>
      <c r="R306" s="10"/>
      <c r="S306" s="10"/>
      <c r="T306" s="14"/>
    </row>
    <row r="307">
      <c r="A307" s="37"/>
      <c r="B307" s="5"/>
      <c r="C307" s="5"/>
      <c r="D307" s="5"/>
      <c r="E307" s="9"/>
      <c r="F307" s="5"/>
      <c r="H307" s="28"/>
      <c r="I307" s="5"/>
      <c r="J307" s="5"/>
      <c r="M307" s="28"/>
      <c r="O307" s="25"/>
      <c r="P307" s="25"/>
      <c r="Q307" s="25"/>
      <c r="R307" s="10"/>
      <c r="S307" s="10"/>
      <c r="T307" s="14"/>
    </row>
    <row r="308">
      <c r="A308" s="37"/>
      <c r="B308" s="5"/>
      <c r="C308" s="5"/>
      <c r="D308" s="5"/>
      <c r="E308" s="9"/>
      <c r="F308" s="5"/>
      <c r="H308" s="28"/>
      <c r="I308" s="5"/>
      <c r="J308" s="5"/>
      <c r="M308" s="28"/>
      <c r="O308" s="25"/>
      <c r="P308" s="25"/>
      <c r="Q308" s="25"/>
      <c r="R308" s="10"/>
      <c r="S308" s="10"/>
      <c r="T308" s="14"/>
    </row>
    <row r="309">
      <c r="A309" s="37"/>
      <c r="B309" s="5"/>
      <c r="C309" s="5"/>
      <c r="D309" s="5"/>
      <c r="E309" s="9"/>
      <c r="F309" s="5"/>
      <c r="H309" s="28"/>
      <c r="I309" s="5"/>
      <c r="J309" s="5"/>
      <c r="M309" s="28"/>
      <c r="O309" s="25"/>
      <c r="P309" s="25"/>
      <c r="Q309" s="25"/>
      <c r="R309" s="10"/>
      <c r="S309" s="10"/>
      <c r="T309" s="14"/>
    </row>
    <row r="310">
      <c r="A310" s="37"/>
      <c r="B310" s="5"/>
      <c r="C310" s="5"/>
      <c r="D310" s="5"/>
      <c r="E310" s="9"/>
      <c r="F310" s="5"/>
      <c r="H310" s="28"/>
      <c r="I310" s="5"/>
      <c r="J310" s="5"/>
      <c r="M310" s="28"/>
      <c r="O310" s="25"/>
      <c r="P310" s="25"/>
      <c r="Q310" s="25"/>
      <c r="R310" s="10"/>
      <c r="S310" s="10"/>
      <c r="T310" s="14"/>
    </row>
    <row r="311">
      <c r="A311" s="37"/>
      <c r="B311" s="5"/>
      <c r="C311" s="5"/>
      <c r="D311" s="5"/>
      <c r="E311" s="9"/>
      <c r="F311" s="5"/>
      <c r="H311" s="28"/>
      <c r="I311" s="5"/>
      <c r="J311" s="5"/>
      <c r="M311" s="28"/>
      <c r="O311" s="25"/>
      <c r="P311" s="25"/>
      <c r="Q311" s="25"/>
      <c r="R311" s="10"/>
      <c r="S311" s="10"/>
      <c r="T311" s="14"/>
    </row>
    <row r="312">
      <c r="A312" s="37"/>
      <c r="B312" s="5"/>
      <c r="C312" s="5"/>
      <c r="D312" s="5"/>
      <c r="E312" s="9"/>
      <c r="F312" s="5"/>
      <c r="H312" s="28"/>
      <c r="I312" s="5"/>
      <c r="J312" s="5"/>
      <c r="M312" s="28"/>
      <c r="O312" s="25"/>
      <c r="P312" s="25"/>
      <c r="Q312" s="25"/>
      <c r="R312" s="10"/>
      <c r="S312" s="10"/>
      <c r="T312" s="14"/>
    </row>
    <row r="313">
      <c r="A313" s="37"/>
      <c r="B313" s="5"/>
      <c r="C313" s="5"/>
      <c r="D313" s="5"/>
      <c r="E313" s="9"/>
      <c r="F313" s="5"/>
      <c r="H313" s="28"/>
      <c r="I313" s="5"/>
      <c r="J313" s="5"/>
      <c r="M313" s="28"/>
      <c r="O313" s="25"/>
      <c r="P313" s="25"/>
      <c r="Q313" s="25"/>
      <c r="R313" s="10"/>
      <c r="S313" s="10"/>
      <c r="T313" s="14"/>
    </row>
    <row r="314">
      <c r="A314" s="37"/>
      <c r="B314" s="5"/>
      <c r="C314" s="5"/>
      <c r="D314" s="5"/>
      <c r="E314" s="9"/>
      <c r="F314" s="5"/>
      <c r="H314" s="28"/>
      <c r="I314" s="5"/>
      <c r="J314" s="5"/>
      <c r="M314" s="28"/>
      <c r="O314" s="25"/>
      <c r="P314" s="25"/>
      <c r="Q314" s="25"/>
      <c r="R314" s="10"/>
      <c r="S314" s="10"/>
      <c r="T314" s="14"/>
    </row>
    <row r="315">
      <c r="A315" s="37"/>
      <c r="B315" s="5"/>
      <c r="C315" s="5"/>
      <c r="D315" s="5"/>
      <c r="E315" s="9"/>
      <c r="F315" s="5"/>
      <c r="H315" s="28"/>
      <c r="I315" s="5"/>
      <c r="J315" s="5"/>
      <c r="M315" s="28"/>
      <c r="O315" s="25"/>
      <c r="P315" s="25"/>
      <c r="Q315" s="25"/>
      <c r="R315" s="10"/>
      <c r="S315" s="10"/>
      <c r="T315" s="14"/>
    </row>
    <row r="316">
      <c r="A316" s="37"/>
      <c r="B316" s="5"/>
      <c r="C316" s="5"/>
      <c r="D316" s="5"/>
      <c r="E316" s="9"/>
      <c r="F316" s="5"/>
      <c r="H316" s="28"/>
      <c r="I316" s="5"/>
      <c r="J316" s="5"/>
      <c r="M316" s="28"/>
      <c r="O316" s="25"/>
      <c r="P316" s="25"/>
      <c r="Q316" s="25"/>
      <c r="R316" s="10"/>
      <c r="S316" s="10"/>
      <c r="T316" s="14"/>
    </row>
    <row r="317">
      <c r="A317" s="37"/>
      <c r="B317" s="5"/>
      <c r="C317" s="5"/>
      <c r="D317" s="5"/>
      <c r="E317" s="9"/>
      <c r="F317" s="5"/>
      <c r="H317" s="28"/>
      <c r="I317" s="5"/>
      <c r="J317" s="5"/>
      <c r="M317" s="28"/>
      <c r="O317" s="25"/>
      <c r="P317" s="25"/>
      <c r="Q317" s="25"/>
      <c r="R317" s="10"/>
      <c r="S317" s="10"/>
      <c r="T317" s="14"/>
    </row>
    <row r="318">
      <c r="A318" s="37"/>
      <c r="B318" s="5"/>
      <c r="C318" s="5"/>
      <c r="D318" s="5"/>
      <c r="E318" s="9"/>
      <c r="F318" s="5"/>
      <c r="H318" s="28"/>
      <c r="I318" s="5"/>
      <c r="J318" s="5"/>
      <c r="M318" s="28"/>
      <c r="O318" s="25"/>
      <c r="P318" s="25"/>
      <c r="Q318" s="25"/>
      <c r="R318" s="10"/>
      <c r="S318" s="10"/>
      <c r="T318" s="14"/>
    </row>
    <row r="319">
      <c r="A319" s="37"/>
      <c r="B319" s="5"/>
      <c r="C319" s="5"/>
      <c r="D319" s="5"/>
      <c r="E319" s="9"/>
      <c r="F319" s="5"/>
      <c r="H319" s="28"/>
      <c r="I319" s="5"/>
      <c r="J319" s="5"/>
      <c r="M319" s="28"/>
      <c r="O319" s="25"/>
      <c r="P319" s="25"/>
      <c r="Q319" s="25"/>
      <c r="R319" s="10"/>
      <c r="S319" s="10"/>
      <c r="T319" s="14"/>
    </row>
    <row r="320">
      <c r="A320" s="37"/>
      <c r="B320" s="5"/>
      <c r="C320" s="5"/>
      <c r="D320" s="5"/>
      <c r="E320" s="9"/>
      <c r="F320" s="5"/>
      <c r="H320" s="28"/>
      <c r="I320" s="5"/>
      <c r="J320" s="5"/>
      <c r="M320" s="28"/>
      <c r="O320" s="25"/>
      <c r="P320" s="25"/>
      <c r="Q320" s="25"/>
      <c r="R320" s="10"/>
      <c r="S320" s="10"/>
      <c r="T320" s="14"/>
    </row>
    <row r="321">
      <c r="A321" s="37"/>
      <c r="B321" s="5"/>
      <c r="C321" s="5"/>
      <c r="D321" s="5"/>
      <c r="E321" s="9"/>
      <c r="F321" s="5"/>
      <c r="H321" s="28"/>
      <c r="I321" s="5"/>
      <c r="J321" s="5"/>
      <c r="M321" s="28"/>
      <c r="O321" s="25"/>
      <c r="P321" s="25"/>
      <c r="Q321" s="25"/>
      <c r="R321" s="10"/>
      <c r="S321" s="10"/>
      <c r="T321" s="14"/>
    </row>
    <row r="322">
      <c r="A322" s="37"/>
      <c r="B322" s="5"/>
      <c r="C322" s="5"/>
      <c r="D322" s="5"/>
      <c r="E322" s="9"/>
      <c r="F322" s="5"/>
      <c r="H322" s="28"/>
      <c r="I322" s="5"/>
      <c r="J322" s="5"/>
      <c r="M322" s="28"/>
      <c r="O322" s="25"/>
      <c r="P322" s="25"/>
      <c r="Q322" s="25"/>
      <c r="R322" s="10"/>
      <c r="S322" s="10"/>
      <c r="T322" s="14"/>
    </row>
    <row r="323">
      <c r="A323" s="37"/>
      <c r="B323" s="5"/>
      <c r="C323" s="5"/>
      <c r="D323" s="5"/>
      <c r="E323" s="9"/>
      <c r="F323" s="5"/>
      <c r="H323" s="28"/>
      <c r="I323" s="5"/>
      <c r="J323" s="5"/>
      <c r="M323" s="28"/>
      <c r="O323" s="25"/>
      <c r="P323" s="25"/>
      <c r="Q323" s="25"/>
      <c r="R323" s="10"/>
      <c r="S323" s="10"/>
      <c r="T323" s="14"/>
    </row>
    <row r="324">
      <c r="A324" s="37"/>
      <c r="B324" s="5"/>
      <c r="C324" s="5"/>
      <c r="D324" s="5"/>
      <c r="E324" s="9"/>
      <c r="F324" s="5"/>
      <c r="H324" s="28"/>
      <c r="I324" s="5"/>
      <c r="J324" s="5"/>
      <c r="M324" s="28"/>
      <c r="O324" s="25"/>
      <c r="P324" s="25"/>
      <c r="Q324" s="25"/>
      <c r="R324" s="10"/>
      <c r="S324" s="10"/>
      <c r="T324" s="14"/>
    </row>
    <row r="325">
      <c r="A325" s="37"/>
      <c r="B325" s="5"/>
      <c r="C325" s="5"/>
      <c r="D325" s="5"/>
      <c r="E325" s="9"/>
      <c r="F325" s="5"/>
      <c r="H325" s="28"/>
      <c r="I325" s="5"/>
      <c r="J325" s="5"/>
      <c r="M325" s="28"/>
      <c r="O325" s="25"/>
      <c r="P325" s="25"/>
      <c r="Q325" s="25"/>
      <c r="R325" s="10"/>
      <c r="S325" s="10"/>
      <c r="T325" s="14"/>
    </row>
    <row r="326">
      <c r="A326" s="37"/>
      <c r="B326" s="5"/>
      <c r="C326" s="5"/>
      <c r="D326" s="5"/>
      <c r="E326" s="9"/>
      <c r="F326" s="5"/>
      <c r="H326" s="28"/>
      <c r="I326" s="5"/>
      <c r="J326" s="5"/>
      <c r="M326" s="28"/>
      <c r="O326" s="25"/>
      <c r="P326" s="25"/>
      <c r="Q326" s="25"/>
      <c r="R326" s="10"/>
      <c r="S326" s="10"/>
      <c r="T326" s="14"/>
    </row>
    <row r="327">
      <c r="A327" s="37"/>
      <c r="B327" s="5"/>
      <c r="C327" s="5"/>
      <c r="D327" s="5"/>
      <c r="E327" s="9"/>
      <c r="F327" s="5"/>
      <c r="H327" s="28"/>
      <c r="I327" s="5"/>
      <c r="J327" s="5"/>
      <c r="M327" s="28"/>
      <c r="O327" s="25"/>
      <c r="P327" s="25"/>
      <c r="Q327" s="25"/>
      <c r="R327" s="10"/>
      <c r="S327" s="10"/>
      <c r="T327" s="14"/>
    </row>
    <row r="328">
      <c r="A328" s="37"/>
      <c r="B328" s="5"/>
      <c r="C328" s="5"/>
      <c r="D328" s="5"/>
      <c r="E328" s="9"/>
      <c r="F328" s="5"/>
      <c r="H328" s="28"/>
      <c r="I328" s="5"/>
      <c r="J328" s="5"/>
      <c r="M328" s="28"/>
      <c r="O328" s="25"/>
      <c r="P328" s="25"/>
      <c r="Q328" s="25"/>
      <c r="R328" s="10"/>
      <c r="S328" s="10"/>
      <c r="T328" s="14"/>
    </row>
    <row r="329">
      <c r="A329" s="37"/>
      <c r="B329" s="5"/>
      <c r="C329" s="5"/>
      <c r="D329" s="5"/>
      <c r="E329" s="9"/>
      <c r="F329" s="5"/>
      <c r="H329" s="28"/>
      <c r="I329" s="5"/>
      <c r="J329" s="5"/>
      <c r="M329" s="28"/>
      <c r="O329" s="25"/>
      <c r="P329" s="25"/>
      <c r="Q329" s="25"/>
      <c r="R329" s="10"/>
      <c r="S329" s="10"/>
      <c r="T329" s="14"/>
    </row>
    <row r="330">
      <c r="A330" s="37"/>
      <c r="B330" s="5"/>
      <c r="C330" s="5"/>
      <c r="D330" s="5"/>
      <c r="E330" s="9"/>
      <c r="F330" s="5"/>
      <c r="H330" s="28"/>
      <c r="I330" s="5"/>
      <c r="J330" s="5"/>
      <c r="M330" s="28"/>
      <c r="O330" s="25"/>
      <c r="P330" s="25"/>
      <c r="Q330" s="25"/>
      <c r="R330" s="10"/>
      <c r="S330" s="10"/>
      <c r="T330" s="14"/>
    </row>
    <row r="331">
      <c r="A331" s="37"/>
      <c r="B331" s="5"/>
      <c r="C331" s="5"/>
      <c r="D331" s="5"/>
      <c r="E331" s="9"/>
      <c r="F331" s="5"/>
      <c r="H331" s="28"/>
      <c r="I331" s="5"/>
      <c r="J331" s="5"/>
      <c r="M331" s="28"/>
      <c r="O331" s="25"/>
      <c r="P331" s="25"/>
      <c r="Q331" s="25"/>
      <c r="R331" s="10"/>
      <c r="S331" s="10"/>
      <c r="T331" s="14"/>
    </row>
    <row r="332">
      <c r="A332" s="37"/>
      <c r="B332" s="5"/>
      <c r="C332" s="5"/>
      <c r="D332" s="5"/>
      <c r="E332" s="9"/>
      <c r="F332" s="5"/>
      <c r="H332" s="28"/>
      <c r="I332" s="5"/>
      <c r="J332" s="5"/>
      <c r="M332" s="28"/>
      <c r="O332" s="25"/>
      <c r="P332" s="25"/>
      <c r="Q332" s="25"/>
      <c r="R332" s="10"/>
      <c r="S332" s="10"/>
      <c r="T332" s="14"/>
    </row>
    <row r="333">
      <c r="A333" s="37"/>
      <c r="B333" s="5"/>
      <c r="C333" s="5"/>
      <c r="D333" s="5"/>
      <c r="E333" s="9"/>
      <c r="F333" s="5"/>
      <c r="H333" s="28"/>
      <c r="I333" s="5"/>
      <c r="J333" s="5"/>
      <c r="M333" s="28"/>
      <c r="O333" s="25"/>
      <c r="P333" s="25"/>
      <c r="Q333" s="25"/>
      <c r="R333" s="10"/>
      <c r="S333" s="10"/>
      <c r="T333" s="14"/>
    </row>
    <row r="334">
      <c r="A334" s="37"/>
      <c r="B334" s="5"/>
      <c r="C334" s="5"/>
      <c r="D334" s="5"/>
      <c r="E334" s="9"/>
      <c r="F334" s="5"/>
      <c r="H334" s="28"/>
      <c r="I334" s="5"/>
      <c r="J334" s="5"/>
      <c r="M334" s="28"/>
      <c r="O334" s="25"/>
      <c r="P334" s="25"/>
      <c r="Q334" s="25"/>
      <c r="R334" s="10"/>
      <c r="S334" s="10"/>
      <c r="T334" s="14"/>
    </row>
    <row r="335">
      <c r="A335" s="37"/>
      <c r="B335" s="5"/>
      <c r="C335" s="5"/>
      <c r="D335" s="5"/>
      <c r="E335" s="9"/>
      <c r="F335" s="5"/>
      <c r="H335" s="28"/>
      <c r="I335" s="5"/>
      <c r="J335" s="5"/>
      <c r="M335" s="28"/>
      <c r="O335" s="25"/>
      <c r="P335" s="25"/>
      <c r="Q335" s="25"/>
      <c r="R335" s="10"/>
      <c r="S335" s="10"/>
      <c r="T335" s="14"/>
    </row>
    <row r="336">
      <c r="A336" s="37"/>
      <c r="B336" s="5"/>
      <c r="C336" s="5"/>
      <c r="D336" s="5"/>
      <c r="E336" s="9"/>
      <c r="F336" s="5"/>
      <c r="H336" s="28"/>
      <c r="I336" s="5"/>
      <c r="J336" s="5"/>
      <c r="M336" s="28"/>
      <c r="O336" s="25"/>
      <c r="P336" s="25"/>
      <c r="Q336" s="25"/>
      <c r="R336" s="10"/>
      <c r="S336" s="10"/>
      <c r="T336" s="14"/>
    </row>
    <row r="337">
      <c r="A337" s="37"/>
      <c r="B337" s="5"/>
      <c r="C337" s="5"/>
      <c r="D337" s="5"/>
      <c r="E337" s="9"/>
      <c r="F337" s="5"/>
      <c r="H337" s="28"/>
      <c r="I337" s="5"/>
      <c r="J337" s="5"/>
      <c r="M337" s="28"/>
      <c r="O337" s="25"/>
      <c r="P337" s="25"/>
      <c r="Q337" s="25"/>
      <c r="R337" s="10"/>
      <c r="S337" s="10"/>
      <c r="T337" s="14"/>
    </row>
    <row r="338">
      <c r="A338" s="37"/>
      <c r="B338" s="5"/>
      <c r="C338" s="5"/>
      <c r="D338" s="5"/>
      <c r="E338" s="9"/>
      <c r="F338" s="5"/>
      <c r="H338" s="28"/>
      <c r="I338" s="5"/>
      <c r="J338" s="5"/>
      <c r="M338" s="28"/>
      <c r="O338" s="25"/>
      <c r="P338" s="25"/>
      <c r="Q338" s="25"/>
      <c r="R338" s="10"/>
      <c r="S338" s="10"/>
      <c r="T338" s="14"/>
    </row>
    <row r="339">
      <c r="A339" s="37"/>
      <c r="B339" s="5"/>
      <c r="C339" s="5"/>
      <c r="D339" s="5"/>
      <c r="E339" s="9"/>
      <c r="F339" s="5"/>
      <c r="H339" s="28"/>
      <c r="I339" s="5"/>
      <c r="J339" s="5"/>
      <c r="M339" s="28"/>
      <c r="O339" s="25"/>
      <c r="P339" s="25"/>
      <c r="Q339" s="25"/>
      <c r="R339" s="10"/>
      <c r="S339" s="10"/>
      <c r="T339" s="14"/>
    </row>
    <row r="340">
      <c r="A340" s="37"/>
      <c r="B340" s="5"/>
      <c r="C340" s="5"/>
      <c r="D340" s="5"/>
      <c r="E340" s="9"/>
      <c r="F340" s="5"/>
      <c r="H340" s="28"/>
      <c r="I340" s="5"/>
      <c r="J340" s="5"/>
      <c r="M340" s="28"/>
      <c r="O340" s="25"/>
      <c r="P340" s="25"/>
      <c r="Q340" s="25"/>
      <c r="R340" s="10"/>
      <c r="S340" s="10"/>
      <c r="T340" s="14"/>
    </row>
    <row r="341">
      <c r="A341" s="37"/>
      <c r="B341" s="5"/>
      <c r="C341" s="5"/>
      <c r="D341" s="5"/>
      <c r="E341" s="9"/>
      <c r="F341" s="5"/>
      <c r="H341" s="28"/>
      <c r="I341" s="5"/>
      <c r="J341" s="5"/>
      <c r="M341" s="28"/>
      <c r="O341" s="25"/>
      <c r="P341" s="25"/>
      <c r="Q341" s="25"/>
      <c r="R341" s="10"/>
      <c r="S341" s="10"/>
      <c r="T341" s="14"/>
    </row>
    <row r="342">
      <c r="A342" s="37"/>
      <c r="B342" s="5"/>
      <c r="C342" s="5"/>
      <c r="D342" s="5"/>
      <c r="E342" s="9"/>
      <c r="F342" s="5"/>
      <c r="H342" s="28"/>
      <c r="I342" s="5"/>
      <c r="J342" s="5"/>
      <c r="M342" s="28"/>
      <c r="O342" s="25"/>
      <c r="P342" s="25"/>
      <c r="Q342" s="25"/>
      <c r="R342" s="10"/>
      <c r="S342" s="10"/>
      <c r="T342" s="14"/>
    </row>
    <row r="343">
      <c r="A343" s="37"/>
      <c r="B343" s="5"/>
      <c r="C343" s="5"/>
      <c r="D343" s="5"/>
      <c r="E343" s="9"/>
      <c r="F343" s="5"/>
      <c r="H343" s="28"/>
      <c r="I343" s="5"/>
      <c r="J343" s="5"/>
      <c r="M343" s="28"/>
      <c r="O343" s="25"/>
      <c r="P343" s="25"/>
      <c r="Q343" s="25"/>
      <c r="R343" s="10"/>
      <c r="S343" s="10"/>
      <c r="T343" s="14"/>
    </row>
    <row r="344">
      <c r="A344" s="37"/>
      <c r="B344" s="5"/>
      <c r="C344" s="5"/>
      <c r="D344" s="5"/>
      <c r="E344" s="9"/>
      <c r="F344" s="5"/>
      <c r="H344" s="28"/>
      <c r="I344" s="5"/>
      <c r="J344" s="5"/>
      <c r="M344" s="28"/>
      <c r="O344" s="25"/>
      <c r="P344" s="25"/>
      <c r="Q344" s="25"/>
      <c r="R344" s="10"/>
      <c r="S344" s="10"/>
      <c r="T344" s="14"/>
    </row>
    <row r="345">
      <c r="A345" s="37"/>
      <c r="B345" s="5"/>
      <c r="C345" s="5"/>
      <c r="D345" s="5"/>
      <c r="E345" s="9"/>
      <c r="F345" s="5"/>
      <c r="H345" s="28"/>
      <c r="I345" s="5"/>
      <c r="J345" s="5"/>
      <c r="M345" s="28"/>
      <c r="O345" s="25"/>
      <c r="P345" s="25"/>
      <c r="Q345" s="25"/>
      <c r="R345" s="10"/>
      <c r="S345" s="10"/>
      <c r="T345" s="14"/>
    </row>
    <row r="346">
      <c r="A346" s="37"/>
      <c r="B346" s="5"/>
      <c r="C346" s="5"/>
      <c r="D346" s="5"/>
      <c r="E346" s="9"/>
      <c r="F346" s="5"/>
      <c r="H346" s="28"/>
      <c r="I346" s="5"/>
      <c r="J346" s="5"/>
      <c r="M346" s="28"/>
      <c r="O346" s="25"/>
      <c r="P346" s="25"/>
      <c r="Q346" s="25"/>
      <c r="R346" s="10"/>
      <c r="S346" s="10"/>
      <c r="T346" s="14"/>
    </row>
    <row r="347">
      <c r="A347" s="37"/>
      <c r="B347" s="5"/>
      <c r="C347" s="5"/>
      <c r="D347" s="5"/>
      <c r="E347" s="9"/>
      <c r="F347" s="5"/>
      <c r="H347" s="28"/>
      <c r="I347" s="5"/>
      <c r="J347" s="5"/>
      <c r="M347" s="28"/>
      <c r="O347" s="25"/>
      <c r="P347" s="25"/>
      <c r="Q347" s="25"/>
      <c r="R347" s="10"/>
      <c r="S347" s="10"/>
      <c r="T347" s="14"/>
    </row>
    <row r="348">
      <c r="A348" s="37"/>
      <c r="B348" s="5"/>
      <c r="C348" s="5"/>
      <c r="D348" s="5"/>
      <c r="E348" s="9"/>
      <c r="F348" s="5"/>
      <c r="H348" s="28"/>
      <c r="I348" s="5"/>
      <c r="J348" s="5"/>
      <c r="M348" s="28"/>
      <c r="O348" s="25"/>
      <c r="P348" s="25"/>
      <c r="Q348" s="25"/>
      <c r="R348" s="10"/>
      <c r="S348" s="10"/>
      <c r="T348" s="14"/>
    </row>
    <row r="349">
      <c r="A349" s="37"/>
      <c r="B349" s="5"/>
      <c r="C349" s="5"/>
      <c r="D349" s="5"/>
      <c r="E349" s="9"/>
      <c r="F349" s="5"/>
      <c r="H349" s="28"/>
      <c r="I349" s="5"/>
      <c r="J349" s="5"/>
      <c r="M349" s="28"/>
      <c r="O349" s="25"/>
      <c r="P349" s="25"/>
      <c r="Q349" s="25"/>
      <c r="R349" s="10"/>
      <c r="S349" s="10"/>
      <c r="T349" s="14"/>
    </row>
    <row r="350">
      <c r="A350" s="37"/>
      <c r="B350" s="5"/>
      <c r="C350" s="5"/>
      <c r="D350" s="5"/>
      <c r="E350" s="9"/>
      <c r="F350" s="5"/>
      <c r="H350" s="28"/>
      <c r="I350" s="5"/>
      <c r="J350" s="5"/>
      <c r="M350" s="28"/>
      <c r="O350" s="25"/>
      <c r="P350" s="25"/>
      <c r="Q350" s="25"/>
      <c r="R350" s="10"/>
      <c r="S350" s="10"/>
      <c r="T350" s="14"/>
    </row>
    <row r="351">
      <c r="A351" s="37"/>
      <c r="B351" s="5"/>
      <c r="C351" s="5"/>
      <c r="D351" s="5"/>
      <c r="E351" s="9"/>
      <c r="F351" s="5"/>
      <c r="H351" s="28"/>
      <c r="I351" s="5"/>
      <c r="J351" s="5"/>
      <c r="M351" s="28"/>
      <c r="O351" s="25"/>
      <c r="P351" s="25"/>
      <c r="Q351" s="25"/>
      <c r="R351" s="10"/>
      <c r="S351" s="10"/>
      <c r="T351" s="14"/>
    </row>
    <row r="352">
      <c r="A352" s="37"/>
      <c r="B352" s="5"/>
      <c r="C352" s="5"/>
      <c r="D352" s="5"/>
      <c r="E352" s="9"/>
      <c r="F352" s="5"/>
      <c r="H352" s="28"/>
      <c r="I352" s="5"/>
      <c r="J352" s="5"/>
      <c r="M352" s="28"/>
      <c r="O352" s="25"/>
      <c r="P352" s="25"/>
      <c r="Q352" s="25"/>
      <c r="R352" s="10"/>
      <c r="S352" s="10"/>
      <c r="T352" s="14"/>
    </row>
    <row r="353">
      <c r="A353" s="37"/>
      <c r="B353" s="5"/>
      <c r="C353" s="5"/>
      <c r="D353" s="5"/>
      <c r="E353" s="9"/>
      <c r="F353" s="5"/>
      <c r="H353" s="28"/>
      <c r="I353" s="5"/>
      <c r="J353" s="5"/>
      <c r="M353" s="28"/>
      <c r="O353" s="25"/>
      <c r="P353" s="25"/>
      <c r="Q353" s="25"/>
      <c r="R353" s="10"/>
      <c r="S353" s="10"/>
      <c r="T353" s="14"/>
    </row>
    <row r="354">
      <c r="A354" s="37"/>
      <c r="B354" s="5"/>
      <c r="C354" s="5"/>
      <c r="D354" s="5"/>
      <c r="E354" s="9"/>
      <c r="F354" s="5"/>
      <c r="H354" s="28"/>
      <c r="I354" s="5"/>
      <c r="J354" s="5"/>
      <c r="M354" s="28"/>
      <c r="O354" s="25"/>
      <c r="P354" s="25"/>
      <c r="Q354" s="25"/>
      <c r="R354" s="10"/>
      <c r="S354" s="10"/>
      <c r="T354" s="14"/>
    </row>
    <row r="355">
      <c r="A355" s="37"/>
      <c r="B355" s="5"/>
      <c r="C355" s="5"/>
      <c r="D355" s="5"/>
      <c r="E355" s="9"/>
      <c r="F355" s="5"/>
      <c r="H355" s="28"/>
      <c r="I355" s="5"/>
      <c r="J355" s="5"/>
      <c r="M355" s="28"/>
      <c r="O355" s="25"/>
      <c r="P355" s="25"/>
      <c r="Q355" s="25"/>
      <c r="R355" s="10"/>
      <c r="S355" s="10"/>
      <c r="T355" s="14"/>
    </row>
    <row r="356">
      <c r="A356" s="37"/>
      <c r="B356" s="5"/>
      <c r="C356" s="5"/>
      <c r="D356" s="5"/>
      <c r="E356" s="9"/>
      <c r="F356" s="5"/>
      <c r="H356" s="28"/>
      <c r="I356" s="5"/>
      <c r="J356" s="5"/>
      <c r="M356" s="28"/>
      <c r="O356" s="25"/>
      <c r="P356" s="25"/>
      <c r="Q356" s="25"/>
      <c r="R356" s="10"/>
      <c r="S356" s="10"/>
      <c r="T356" s="14"/>
    </row>
    <row r="357">
      <c r="A357" s="37"/>
      <c r="B357" s="5"/>
      <c r="C357" s="5"/>
      <c r="D357" s="5"/>
      <c r="E357" s="9"/>
      <c r="F357" s="5"/>
      <c r="H357" s="28"/>
      <c r="I357" s="5"/>
      <c r="J357" s="5"/>
      <c r="M357" s="28"/>
      <c r="O357" s="25"/>
      <c r="P357" s="25"/>
      <c r="Q357" s="25"/>
      <c r="R357" s="10"/>
      <c r="S357" s="10"/>
      <c r="T357" s="14"/>
    </row>
    <row r="358">
      <c r="A358" s="37"/>
      <c r="B358" s="5"/>
      <c r="C358" s="5"/>
      <c r="D358" s="5"/>
      <c r="E358" s="9"/>
      <c r="F358" s="5"/>
      <c r="H358" s="28"/>
      <c r="I358" s="5"/>
      <c r="J358" s="5"/>
      <c r="M358" s="28"/>
      <c r="O358" s="25"/>
      <c r="P358" s="25"/>
      <c r="Q358" s="25"/>
      <c r="R358" s="10"/>
      <c r="S358" s="10"/>
      <c r="T358" s="14"/>
    </row>
    <row r="359">
      <c r="A359" s="37"/>
      <c r="B359" s="5"/>
      <c r="C359" s="5"/>
      <c r="D359" s="5"/>
      <c r="E359" s="9"/>
      <c r="F359" s="5"/>
      <c r="H359" s="28"/>
      <c r="I359" s="5"/>
      <c r="J359" s="5"/>
      <c r="M359" s="28"/>
      <c r="O359" s="25"/>
      <c r="P359" s="25"/>
      <c r="Q359" s="25"/>
      <c r="R359" s="10"/>
      <c r="S359" s="10"/>
      <c r="T359" s="14"/>
    </row>
    <row r="360">
      <c r="A360" s="37"/>
      <c r="B360" s="5"/>
      <c r="C360" s="5"/>
      <c r="D360" s="5"/>
      <c r="E360" s="9"/>
      <c r="F360" s="5"/>
      <c r="H360" s="28"/>
      <c r="I360" s="5"/>
      <c r="J360" s="5"/>
      <c r="M360" s="28"/>
      <c r="O360" s="25"/>
      <c r="P360" s="25"/>
      <c r="Q360" s="25"/>
      <c r="R360" s="10"/>
      <c r="S360" s="10"/>
      <c r="T360" s="14"/>
    </row>
    <row r="361">
      <c r="A361" s="37"/>
      <c r="B361" s="5"/>
      <c r="C361" s="5"/>
      <c r="D361" s="5"/>
      <c r="E361" s="9"/>
      <c r="F361" s="5"/>
      <c r="H361" s="28"/>
      <c r="I361" s="5"/>
      <c r="J361" s="5"/>
      <c r="M361" s="28"/>
      <c r="O361" s="25"/>
      <c r="P361" s="25"/>
      <c r="Q361" s="25"/>
      <c r="R361" s="10"/>
      <c r="S361" s="10"/>
      <c r="T361" s="14"/>
    </row>
    <row r="362">
      <c r="A362" s="37"/>
      <c r="B362" s="5"/>
      <c r="C362" s="5"/>
      <c r="D362" s="5"/>
      <c r="E362" s="9"/>
      <c r="F362" s="5"/>
      <c r="H362" s="28"/>
      <c r="I362" s="5"/>
      <c r="J362" s="5"/>
      <c r="M362" s="28"/>
      <c r="O362" s="25"/>
      <c r="P362" s="25"/>
      <c r="Q362" s="25"/>
      <c r="R362" s="10"/>
      <c r="S362" s="10"/>
      <c r="T362" s="14"/>
    </row>
    <row r="363">
      <c r="A363" s="37"/>
      <c r="B363" s="5"/>
      <c r="C363" s="5"/>
      <c r="D363" s="5"/>
      <c r="E363" s="9"/>
      <c r="F363" s="5"/>
      <c r="H363" s="28"/>
      <c r="I363" s="5"/>
      <c r="J363" s="5"/>
      <c r="M363" s="28"/>
      <c r="O363" s="25"/>
      <c r="P363" s="25"/>
      <c r="Q363" s="25"/>
      <c r="R363" s="10"/>
      <c r="S363" s="10"/>
      <c r="T363" s="14"/>
    </row>
    <row r="364">
      <c r="A364" s="37"/>
      <c r="B364" s="5"/>
      <c r="C364" s="5"/>
      <c r="D364" s="5"/>
      <c r="E364" s="9"/>
      <c r="F364" s="5"/>
      <c r="H364" s="28"/>
      <c r="I364" s="5"/>
      <c r="J364" s="5"/>
      <c r="M364" s="28"/>
      <c r="O364" s="25"/>
      <c r="P364" s="25"/>
      <c r="Q364" s="25"/>
      <c r="R364" s="10"/>
      <c r="S364" s="10"/>
      <c r="T364" s="14"/>
    </row>
    <row r="365">
      <c r="A365" s="37"/>
      <c r="B365" s="5"/>
      <c r="C365" s="5"/>
      <c r="D365" s="5"/>
      <c r="E365" s="9"/>
      <c r="F365" s="5"/>
      <c r="H365" s="28"/>
      <c r="I365" s="5"/>
      <c r="J365" s="5"/>
      <c r="M365" s="28"/>
      <c r="O365" s="25"/>
      <c r="P365" s="25"/>
      <c r="Q365" s="25"/>
      <c r="R365" s="10"/>
      <c r="S365" s="10"/>
      <c r="T365" s="14"/>
    </row>
    <row r="366">
      <c r="A366" s="37"/>
      <c r="B366" s="5"/>
      <c r="C366" s="5"/>
      <c r="D366" s="5"/>
      <c r="E366" s="9"/>
      <c r="F366" s="5"/>
      <c r="H366" s="28"/>
      <c r="I366" s="5"/>
      <c r="J366" s="5"/>
      <c r="M366" s="28"/>
      <c r="O366" s="25"/>
      <c r="P366" s="25"/>
      <c r="Q366" s="25"/>
      <c r="R366" s="10"/>
      <c r="S366" s="10"/>
      <c r="T366" s="14"/>
    </row>
    <row r="367">
      <c r="A367" s="37"/>
      <c r="B367" s="5"/>
      <c r="C367" s="5"/>
      <c r="D367" s="5"/>
      <c r="E367" s="9"/>
      <c r="F367" s="5"/>
      <c r="H367" s="28"/>
      <c r="I367" s="5"/>
      <c r="J367" s="5"/>
      <c r="M367" s="28"/>
      <c r="O367" s="25"/>
      <c r="P367" s="25"/>
      <c r="Q367" s="25"/>
      <c r="R367" s="10"/>
      <c r="S367" s="10"/>
      <c r="T367" s="14"/>
    </row>
    <row r="368">
      <c r="A368" s="37"/>
      <c r="B368" s="5"/>
      <c r="C368" s="5"/>
      <c r="D368" s="5"/>
      <c r="E368" s="9"/>
      <c r="F368" s="5"/>
      <c r="H368" s="28"/>
      <c r="I368" s="5"/>
      <c r="J368" s="5"/>
      <c r="M368" s="28"/>
      <c r="O368" s="25"/>
      <c r="P368" s="25"/>
      <c r="Q368" s="25"/>
      <c r="R368" s="10"/>
      <c r="S368" s="10"/>
      <c r="T368" s="14"/>
    </row>
    <row r="369">
      <c r="A369" s="37"/>
      <c r="B369" s="5"/>
      <c r="C369" s="5"/>
      <c r="D369" s="5"/>
      <c r="E369" s="9"/>
      <c r="F369" s="5"/>
      <c r="H369" s="28"/>
      <c r="I369" s="5"/>
      <c r="J369" s="5"/>
      <c r="M369" s="28"/>
      <c r="O369" s="25"/>
      <c r="P369" s="25"/>
      <c r="Q369" s="25"/>
      <c r="R369" s="10"/>
      <c r="S369" s="10"/>
      <c r="T369" s="14"/>
    </row>
    <row r="370">
      <c r="A370" s="37"/>
      <c r="B370" s="5"/>
      <c r="C370" s="5"/>
      <c r="D370" s="5"/>
      <c r="E370" s="9"/>
      <c r="F370" s="5"/>
      <c r="H370" s="28"/>
      <c r="I370" s="5"/>
      <c r="J370" s="5"/>
      <c r="M370" s="28"/>
      <c r="O370" s="25"/>
      <c r="P370" s="25"/>
      <c r="Q370" s="25"/>
      <c r="R370" s="10"/>
      <c r="S370" s="10"/>
      <c r="T370" s="14"/>
    </row>
    <row r="371">
      <c r="A371" s="37"/>
      <c r="B371" s="5"/>
      <c r="C371" s="5"/>
      <c r="D371" s="5"/>
      <c r="E371" s="9"/>
      <c r="F371" s="5"/>
      <c r="H371" s="28"/>
      <c r="I371" s="5"/>
      <c r="J371" s="5"/>
      <c r="M371" s="28"/>
      <c r="O371" s="25"/>
      <c r="P371" s="25"/>
      <c r="Q371" s="25"/>
      <c r="R371" s="10"/>
      <c r="S371" s="10"/>
      <c r="T371" s="14"/>
    </row>
    <row r="372">
      <c r="A372" s="37"/>
      <c r="B372" s="5"/>
      <c r="C372" s="5"/>
      <c r="D372" s="5"/>
      <c r="E372" s="9"/>
      <c r="F372" s="5"/>
      <c r="H372" s="28"/>
      <c r="I372" s="5"/>
      <c r="J372" s="5"/>
      <c r="M372" s="28"/>
      <c r="O372" s="25"/>
      <c r="P372" s="25"/>
      <c r="Q372" s="25"/>
      <c r="R372" s="10"/>
      <c r="S372" s="10"/>
      <c r="T372" s="14"/>
    </row>
    <row r="373">
      <c r="A373" s="37"/>
      <c r="B373" s="5"/>
      <c r="C373" s="5"/>
      <c r="D373" s="5"/>
      <c r="E373" s="9"/>
      <c r="F373" s="5"/>
      <c r="H373" s="28"/>
      <c r="I373" s="5"/>
      <c r="J373" s="5"/>
      <c r="M373" s="28"/>
      <c r="O373" s="25"/>
      <c r="P373" s="25"/>
      <c r="Q373" s="25"/>
      <c r="R373" s="10"/>
      <c r="S373" s="10"/>
      <c r="T373" s="14"/>
    </row>
    <row r="374">
      <c r="A374" s="37"/>
      <c r="B374" s="5"/>
      <c r="C374" s="5"/>
      <c r="D374" s="5"/>
      <c r="E374" s="9"/>
      <c r="F374" s="5"/>
      <c r="H374" s="28"/>
      <c r="I374" s="5"/>
      <c r="J374" s="5"/>
      <c r="M374" s="28"/>
      <c r="O374" s="25"/>
      <c r="P374" s="25"/>
      <c r="Q374" s="25"/>
      <c r="R374" s="10"/>
      <c r="S374" s="10"/>
      <c r="T374" s="14"/>
    </row>
    <row r="375">
      <c r="A375" s="37"/>
      <c r="B375" s="5"/>
      <c r="C375" s="5"/>
      <c r="D375" s="5"/>
      <c r="E375" s="9"/>
      <c r="F375" s="5"/>
      <c r="H375" s="28"/>
      <c r="I375" s="5"/>
      <c r="J375" s="5"/>
      <c r="M375" s="28"/>
      <c r="O375" s="25"/>
      <c r="P375" s="25"/>
      <c r="Q375" s="25"/>
      <c r="R375" s="10"/>
      <c r="S375" s="10"/>
      <c r="T375" s="14"/>
    </row>
    <row r="376">
      <c r="A376" s="37"/>
      <c r="B376" s="5"/>
      <c r="C376" s="5"/>
      <c r="D376" s="5"/>
      <c r="E376" s="9"/>
      <c r="F376" s="5"/>
      <c r="H376" s="28"/>
      <c r="I376" s="5"/>
      <c r="J376" s="5"/>
      <c r="M376" s="28"/>
      <c r="O376" s="25"/>
      <c r="P376" s="25"/>
      <c r="Q376" s="25"/>
      <c r="R376" s="10"/>
      <c r="S376" s="10"/>
      <c r="T376" s="14"/>
    </row>
    <row r="377">
      <c r="A377" s="37"/>
      <c r="B377" s="5"/>
      <c r="C377" s="5"/>
      <c r="D377" s="5"/>
      <c r="E377" s="9"/>
      <c r="F377" s="5"/>
      <c r="H377" s="28"/>
      <c r="I377" s="5"/>
      <c r="J377" s="5"/>
      <c r="M377" s="28"/>
      <c r="O377" s="25"/>
      <c r="P377" s="25"/>
      <c r="Q377" s="25"/>
      <c r="R377" s="10"/>
      <c r="S377" s="10"/>
      <c r="T377" s="14"/>
    </row>
    <row r="378">
      <c r="A378" s="37"/>
      <c r="B378" s="5"/>
      <c r="C378" s="5"/>
      <c r="D378" s="5"/>
      <c r="E378" s="9"/>
      <c r="F378" s="5"/>
      <c r="H378" s="28"/>
      <c r="I378" s="5"/>
      <c r="J378" s="5"/>
      <c r="M378" s="28"/>
      <c r="O378" s="25"/>
      <c r="P378" s="25"/>
      <c r="Q378" s="25"/>
      <c r="R378" s="10"/>
      <c r="S378" s="10"/>
      <c r="T378" s="14"/>
    </row>
    <row r="379">
      <c r="A379" s="37"/>
      <c r="B379" s="5"/>
      <c r="C379" s="5"/>
      <c r="D379" s="5"/>
      <c r="E379" s="9"/>
      <c r="F379" s="5"/>
      <c r="H379" s="28"/>
      <c r="I379" s="5"/>
      <c r="J379" s="5"/>
      <c r="M379" s="28"/>
      <c r="O379" s="25"/>
      <c r="P379" s="25"/>
      <c r="Q379" s="25"/>
      <c r="R379" s="10"/>
      <c r="S379" s="10"/>
      <c r="T379" s="14"/>
    </row>
    <row r="380">
      <c r="A380" s="37"/>
      <c r="B380" s="5"/>
      <c r="C380" s="5"/>
      <c r="D380" s="5"/>
      <c r="E380" s="9"/>
      <c r="F380" s="5"/>
      <c r="H380" s="28"/>
      <c r="I380" s="5"/>
      <c r="J380" s="5"/>
      <c r="M380" s="28"/>
      <c r="O380" s="25"/>
      <c r="P380" s="25"/>
      <c r="Q380" s="25"/>
      <c r="R380" s="10"/>
      <c r="S380" s="10"/>
      <c r="T380" s="14"/>
    </row>
    <row r="381">
      <c r="A381" s="37"/>
      <c r="B381" s="5"/>
      <c r="C381" s="5"/>
      <c r="D381" s="5"/>
      <c r="E381" s="9"/>
      <c r="F381" s="5"/>
      <c r="H381" s="28"/>
      <c r="I381" s="5"/>
      <c r="J381" s="5"/>
      <c r="M381" s="28"/>
      <c r="O381" s="25"/>
      <c r="P381" s="25"/>
      <c r="Q381" s="25"/>
      <c r="R381" s="10"/>
      <c r="S381" s="10"/>
      <c r="T381" s="14"/>
    </row>
    <row r="382">
      <c r="A382" s="37"/>
      <c r="B382" s="5"/>
      <c r="C382" s="5"/>
      <c r="D382" s="5"/>
      <c r="E382" s="9"/>
      <c r="F382" s="5"/>
      <c r="H382" s="28"/>
      <c r="I382" s="5"/>
      <c r="J382" s="5"/>
      <c r="M382" s="28"/>
      <c r="O382" s="25"/>
      <c r="P382" s="25"/>
      <c r="Q382" s="25"/>
      <c r="R382" s="10"/>
      <c r="S382" s="10"/>
      <c r="T382" s="14"/>
    </row>
    <row r="383">
      <c r="A383" s="37"/>
      <c r="B383" s="5"/>
      <c r="C383" s="5"/>
      <c r="D383" s="5"/>
      <c r="E383" s="9"/>
      <c r="F383" s="5"/>
      <c r="H383" s="28"/>
      <c r="I383" s="5"/>
      <c r="J383" s="5"/>
      <c r="M383" s="28"/>
      <c r="O383" s="25"/>
      <c r="P383" s="25"/>
      <c r="Q383" s="25"/>
      <c r="R383" s="10"/>
      <c r="S383" s="10"/>
      <c r="T383" s="14"/>
    </row>
    <row r="384">
      <c r="A384" s="37"/>
      <c r="B384" s="5"/>
      <c r="C384" s="5"/>
      <c r="D384" s="5"/>
      <c r="E384" s="9"/>
      <c r="F384" s="5"/>
      <c r="H384" s="28"/>
      <c r="I384" s="5"/>
      <c r="J384" s="5"/>
      <c r="M384" s="28"/>
      <c r="O384" s="25"/>
      <c r="P384" s="25"/>
      <c r="Q384" s="25"/>
      <c r="R384" s="10"/>
      <c r="S384" s="10"/>
      <c r="T384" s="14"/>
    </row>
    <row r="385">
      <c r="A385" s="37"/>
      <c r="B385" s="5"/>
      <c r="C385" s="5"/>
      <c r="D385" s="5"/>
      <c r="E385" s="9"/>
      <c r="F385" s="5"/>
      <c r="H385" s="28"/>
      <c r="I385" s="5"/>
      <c r="J385" s="5"/>
      <c r="M385" s="28"/>
      <c r="O385" s="25"/>
      <c r="P385" s="25"/>
      <c r="Q385" s="25"/>
      <c r="R385" s="10"/>
      <c r="S385" s="10"/>
      <c r="T385" s="14"/>
    </row>
    <row r="386">
      <c r="A386" s="37"/>
      <c r="B386" s="5"/>
      <c r="C386" s="5"/>
      <c r="D386" s="5"/>
      <c r="E386" s="9"/>
      <c r="F386" s="5"/>
      <c r="H386" s="28"/>
      <c r="I386" s="5"/>
      <c r="J386" s="5"/>
      <c r="M386" s="28"/>
      <c r="O386" s="25"/>
      <c r="P386" s="25"/>
      <c r="Q386" s="25"/>
      <c r="R386" s="10"/>
      <c r="S386" s="10"/>
      <c r="T386" s="14"/>
    </row>
    <row r="387">
      <c r="A387" s="37"/>
      <c r="B387" s="5"/>
      <c r="C387" s="5"/>
      <c r="D387" s="5"/>
      <c r="E387" s="9"/>
      <c r="F387" s="5"/>
      <c r="H387" s="28"/>
      <c r="I387" s="5"/>
      <c r="J387" s="5"/>
      <c r="M387" s="28"/>
      <c r="O387" s="25"/>
      <c r="P387" s="25"/>
      <c r="Q387" s="25"/>
      <c r="R387" s="10"/>
      <c r="S387" s="10"/>
      <c r="T387" s="14"/>
    </row>
    <row r="388">
      <c r="A388" s="37"/>
      <c r="B388" s="5"/>
      <c r="C388" s="5"/>
      <c r="D388" s="5"/>
      <c r="E388" s="9"/>
      <c r="F388" s="5"/>
      <c r="H388" s="28"/>
      <c r="I388" s="5"/>
      <c r="J388" s="5"/>
      <c r="M388" s="28"/>
      <c r="O388" s="25"/>
      <c r="P388" s="25"/>
      <c r="Q388" s="25"/>
      <c r="R388" s="10"/>
      <c r="S388" s="10"/>
      <c r="T388" s="14"/>
    </row>
    <row r="389">
      <c r="A389" s="37"/>
      <c r="B389" s="5"/>
      <c r="C389" s="5"/>
      <c r="D389" s="5"/>
      <c r="E389" s="9"/>
      <c r="F389" s="5"/>
      <c r="H389" s="28"/>
      <c r="I389" s="5"/>
      <c r="J389" s="5"/>
      <c r="M389" s="28"/>
      <c r="O389" s="25"/>
      <c r="P389" s="25"/>
      <c r="Q389" s="25"/>
      <c r="R389" s="10"/>
      <c r="S389" s="10"/>
      <c r="T389" s="14"/>
    </row>
    <row r="390">
      <c r="A390" s="37"/>
      <c r="B390" s="5"/>
      <c r="C390" s="5"/>
      <c r="D390" s="5"/>
      <c r="E390" s="9"/>
      <c r="F390" s="5"/>
      <c r="H390" s="28"/>
      <c r="I390" s="5"/>
      <c r="J390" s="5"/>
      <c r="M390" s="28"/>
      <c r="O390" s="25"/>
      <c r="P390" s="25"/>
      <c r="Q390" s="25"/>
      <c r="R390" s="10"/>
      <c r="S390" s="10"/>
      <c r="T390" s="14"/>
    </row>
    <row r="391">
      <c r="A391" s="37"/>
      <c r="B391" s="5"/>
      <c r="C391" s="5"/>
      <c r="D391" s="5"/>
      <c r="E391" s="9"/>
      <c r="F391" s="5"/>
      <c r="H391" s="28"/>
      <c r="I391" s="5"/>
      <c r="J391" s="5"/>
      <c r="M391" s="28"/>
      <c r="O391" s="25"/>
      <c r="P391" s="25"/>
      <c r="Q391" s="25"/>
      <c r="R391" s="10"/>
      <c r="S391" s="10"/>
      <c r="T391" s="14"/>
    </row>
    <row r="392">
      <c r="A392" s="37"/>
      <c r="B392" s="5"/>
      <c r="C392" s="5"/>
      <c r="D392" s="5"/>
      <c r="E392" s="9"/>
      <c r="F392" s="5"/>
      <c r="H392" s="28"/>
      <c r="I392" s="5"/>
      <c r="J392" s="5"/>
      <c r="M392" s="28"/>
      <c r="O392" s="25"/>
      <c r="P392" s="25"/>
      <c r="Q392" s="25"/>
      <c r="R392" s="10"/>
      <c r="S392" s="10"/>
      <c r="T392" s="14"/>
    </row>
    <row r="393">
      <c r="A393" s="37"/>
      <c r="B393" s="5"/>
      <c r="C393" s="5"/>
      <c r="D393" s="5"/>
      <c r="E393" s="9"/>
      <c r="F393" s="5"/>
      <c r="H393" s="28"/>
      <c r="I393" s="5"/>
      <c r="J393" s="5"/>
      <c r="M393" s="28"/>
      <c r="O393" s="25"/>
      <c r="P393" s="25"/>
      <c r="Q393" s="25"/>
      <c r="R393" s="10"/>
      <c r="S393" s="10"/>
      <c r="T393" s="14"/>
    </row>
    <row r="394">
      <c r="A394" s="37"/>
      <c r="B394" s="5"/>
      <c r="C394" s="5"/>
      <c r="D394" s="5"/>
      <c r="E394" s="9"/>
      <c r="F394" s="5"/>
      <c r="H394" s="28"/>
      <c r="I394" s="5"/>
      <c r="J394" s="5"/>
      <c r="M394" s="28"/>
      <c r="O394" s="25"/>
      <c r="P394" s="25"/>
      <c r="Q394" s="25"/>
      <c r="R394" s="10"/>
      <c r="S394" s="10"/>
      <c r="T394" s="14"/>
    </row>
    <row r="395">
      <c r="A395" s="37"/>
      <c r="B395" s="5"/>
      <c r="C395" s="5"/>
      <c r="D395" s="5"/>
      <c r="E395" s="9"/>
      <c r="F395" s="5"/>
      <c r="H395" s="28"/>
      <c r="I395" s="5"/>
      <c r="J395" s="5"/>
      <c r="M395" s="28"/>
      <c r="O395" s="25"/>
      <c r="P395" s="25"/>
      <c r="Q395" s="25"/>
      <c r="R395" s="10"/>
      <c r="S395" s="10"/>
      <c r="T395" s="14"/>
    </row>
    <row r="396">
      <c r="A396" s="37"/>
      <c r="B396" s="5"/>
      <c r="C396" s="5"/>
      <c r="D396" s="5"/>
      <c r="E396" s="9"/>
      <c r="F396" s="5"/>
      <c r="H396" s="28"/>
      <c r="I396" s="5"/>
      <c r="J396" s="5"/>
      <c r="M396" s="28"/>
      <c r="O396" s="25"/>
      <c r="P396" s="25"/>
      <c r="Q396" s="25"/>
      <c r="R396" s="10"/>
      <c r="S396" s="10"/>
      <c r="T396" s="14"/>
    </row>
    <row r="397">
      <c r="A397" s="37"/>
      <c r="B397" s="5"/>
      <c r="C397" s="5"/>
      <c r="D397" s="5"/>
      <c r="E397" s="9"/>
      <c r="F397" s="5"/>
      <c r="H397" s="28"/>
      <c r="I397" s="5"/>
      <c r="J397" s="5"/>
      <c r="M397" s="28"/>
      <c r="O397" s="25"/>
      <c r="P397" s="25"/>
      <c r="Q397" s="25"/>
      <c r="R397" s="10"/>
      <c r="S397" s="10"/>
      <c r="T397" s="14"/>
    </row>
    <row r="398">
      <c r="A398" s="37"/>
      <c r="B398" s="5"/>
      <c r="C398" s="5"/>
      <c r="D398" s="5"/>
      <c r="E398" s="9"/>
      <c r="F398" s="5"/>
      <c r="H398" s="28"/>
      <c r="I398" s="5"/>
      <c r="J398" s="5"/>
      <c r="M398" s="28"/>
      <c r="O398" s="25"/>
      <c r="P398" s="25"/>
      <c r="Q398" s="25"/>
      <c r="R398" s="10"/>
      <c r="S398" s="10"/>
      <c r="T398" s="14"/>
    </row>
    <row r="399">
      <c r="A399" s="37"/>
      <c r="B399" s="5"/>
      <c r="C399" s="5"/>
      <c r="D399" s="5"/>
      <c r="E399" s="9"/>
      <c r="F399" s="5"/>
      <c r="H399" s="28"/>
      <c r="I399" s="5"/>
      <c r="J399" s="5"/>
      <c r="M399" s="28"/>
      <c r="O399" s="25"/>
      <c r="P399" s="25"/>
      <c r="Q399" s="25"/>
      <c r="R399" s="10"/>
      <c r="S399" s="10"/>
      <c r="T399" s="14"/>
    </row>
    <row r="400">
      <c r="A400" s="37"/>
      <c r="B400" s="5"/>
      <c r="C400" s="5"/>
      <c r="D400" s="5"/>
      <c r="E400" s="9"/>
      <c r="F400" s="5"/>
      <c r="H400" s="28"/>
      <c r="I400" s="5"/>
      <c r="J400" s="5"/>
      <c r="M400" s="28"/>
      <c r="O400" s="25"/>
      <c r="P400" s="25"/>
      <c r="Q400" s="25"/>
      <c r="R400" s="10"/>
      <c r="S400" s="10"/>
      <c r="T400" s="14"/>
    </row>
    <row r="401">
      <c r="A401" s="37"/>
      <c r="B401" s="5"/>
      <c r="C401" s="5"/>
      <c r="D401" s="5"/>
      <c r="E401" s="9"/>
      <c r="F401" s="5"/>
      <c r="H401" s="28"/>
      <c r="I401" s="5"/>
      <c r="J401" s="5"/>
      <c r="M401" s="28"/>
      <c r="O401" s="25"/>
      <c r="P401" s="25"/>
      <c r="Q401" s="25"/>
      <c r="R401" s="10"/>
      <c r="S401" s="10"/>
      <c r="T401" s="14"/>
    </row>
    <row r="402">
      <c r="A402" s="37"/>
      <c r="B402" s="5"/>
      <c r="C402" s="5"/>
      <c r="D402" s="5"/>
      <c r="E402" s="9"/>
      <c r="F402" s="5"/>
      <c r="H402" s="28"/>
      <c r="I402" s="5"/>
      <c r="J402" s="5"/>
      <c r="M402" s="28"/>
      <c r="O402" s="25"/>
      <c r="P402" s="25"/>
      <c r="Q402" s="25"/>
      <c r="R402" s="10"/>
      <c r="S402" s="10"/>
      <c r="T402" s="14"/>
    </row>
    <row r="403">
      <c r="A403" s="37"/>
      <c r="B403" s="5"/>
      <c r="C403" s="5"/>
      <c r="D403" s="5"/>
      <c r="E403" s="9"/>
      <c r="F403" s="5"/>
      <c r="H403" s="28"/>
      <c r="I403" s="5"/>
      <c r="J403" s="5"/>
      <c r="M403" s="28"/>
      <c r="O403" s="25"/>
      <c r="P403" s="25"/>
      <c r="Q403" s="25"/>
      <c r="R403" s="10"/>
      <c r="S403" s="10"/>
      <c r="T403" s="14"/>
    </row>
    <row r="404">
      <c r="A404" s="37"/>
      <c r="B404" s="5"/>
      <c r="C404" s="5"/>
      <c r="D404" s="5"/>
      <c r="E404" s="9"/>
      <c r="F404" s="5"/>
      <c r="H404" s="28"/>
      <c r="I404" s="5"/>
      <c r="J404" s="5"/>
      <c r="M404" s="28"/>
      <c r="O404" s="25"/>
      <c r="P404" s="25"/>
      <c r="Q404" s="25"/>
      <c r="R404" s="10"/>
      <c r="S404" s="10"/>
      <c r="T404" s="14"/>
    </row>
    <row r="405">
      <c r="A405" s="37"/>
      <c r="B405" s="5"/>
      <c r="C405" s="5"/>
      <c r="D405" s="5"/>
      <c r="E405" s="9"/>
      <c r="F405" s="5"/>
      <c r="H405" s="28"/>
      <c r="I405" s="5"/>
      <c r="J405" s="5"/>
      <c r="M405" s="28"/>
      <c r="O405" s="25"/>
      <c r="P405" s="25"/>
      <c r="Q405" s="25"/>
      <c r="R405" s="10"/>
      <c r="S405" s="10"/>
      <c r="T405" s="14"/>
    </row>
    <row r="406">
      <c r="A406" s="37"/>
      <c r="B406" s="5"/>
      <c r="C406" s="5"/>
      <c r="D406" s="5"/>
      <c r="E406" s="9"/>
      <c r="F406" s="5"/>
      <c r="H406" s="28"/>
      <c r="I406" s="5"/>
      <c r="J406" s="5"/>
      <c r="M406" s="28"/>
      <c r="O406" s="25"/>
      <c r="P406" s="25"/>
      <c r="Q406" s="25"/>
      <c r="R406" s="10"/>
      <c r="S406" s="10"/>
      <c r="T406" s="14"/>
    </row>
    <row r="407">
      <c r="A407" s="37"/>
      <c r="B407" s="5"/>
      <c r="C407" s="5"/>
      <c r="D407" s="5"/>
      <c r="E407" s="9"/>
      <c r="F407" s="5"/>
      <c r="H407" s="28"/>
      <c r="I407" s="5"/>
      <c r="J407" s="5"/>
      <c r="M407" s="28"/>
      <c r="O407" s="25"/>
      <c r="P407" s="25"/>
      <c r="Q407" s="25"/>
      <c r="R407" s="10"/>
      <c r="S407" s="10"/>
      <c r="T407" s="14"/>
    </row>
    <row r="408">
      <c r="A408" s="37"/>
      <c r="B408" s="5"/>
      <c r="C408" s="5"/>
      <c r="D408" s="5"/>
      <c r="E408" s="9"/>
      <c r="F408" s="5"/>
      <c r="H408" s="28"/>
      <c r="I408" s="5"/>
      <c r="J408" s="5"/>
      <c r="M408" s="28"/>
      <c r="O408" s="25"/>
      <c r="P408" s="25"/>
      <c r="Q408" s="25"/>
      <c r="R408" s="10"/>
      <c r="S408" s="10"/>
      <c r="T408" s="14"/>
    </row>
    <row r="409">
      <c r="A409" s="37"/>
      <c r="B409" s="5"/>
      <c r="C409" s="5"/>
      <c r="D409" s="5"/>
      <c r="E409" s="9"/>
      <c r="F409" s="5"/>
      <c r="H409" s="28"/>
      <c r="I409" s="5"/>
      <c r="J409" s="5"/>
      <c r="M409" s="28"/>
      <c r="O409" s="25"/>
      <c r="P409" s="25"/>
      <c r="Q409" s="25"/>
      <c r="R409" s="10"/>
      <c r="S409" s="10"/>
      <c r="T409" s="14"/>
    </row>
    <row r="410">
      <c r="A410" s="37"/>
      <c r="B410" s="5"/>
      <c r="C410" s="5"/>
      <c r="D410" s="5"/>
      <c r="E410" s="9"/>
      <c r="F410" s="5"/>
      <c r="H410" s="28"/>
      <c r="I410" s="5"/>
      <c r="J410" s="5"/>
      <c r="M410" s="28"/>
      <c r="O410" s="25"/>
      <c r="P410" s="25"/>
      <c r="Q410" s="25"/>
      <c r="R410" s="10"/>
      <c r="S410" s="10"/>
      <c r="T410" s="14"/>
    </row>
    <row r="411">
      <c r="A411" s="37"/>
      <c r="B411" s="5"/>
      <c r="C411" s="5"/>
      <c r="D411" s="5"/>
      <c r="E411" s="9"/>
      <c r="F411" s="5"/>
      <c r="H411" s="28"/>
      <c r="I411" s="5"/>
      <c r="J411" s="5"/>
      <c r="M411" s="28"/>
      <c r="O411" s="25"/>
      <c r="P411" s="25"/>
      <c r="Q411" s="25"/>
      <c r="R411" s="10"/>
      <c r="S411" s="10"/>
      <c r="T411" s="14"/>
    </row>
    <row r="412">
      <c r="A412" s="37"/>
      <c r="B412" s="5"/>
      <c r="C412" s="5"/>
      <c r="D412" s="5"/>
      <c r="E412" s="9"/>
      <c r="F412" s="5"/>
      <c r="H412" s="28"/>
      <c r="I412" s="5"/>
      <c r="J412" s="5"/>
      <c r="M412" s="28"/>
      <c r="O412" s="25"/>
      <c r="P412" s="25"/>
      <c r="Q412" s="25"/>
      <c r="R412" s="10"/>
      <c r="S412" s="10"/>
      <c r="T412" s="14"/>
    </row>
    <row r="413">
      <c r="A413" s="37"/>
      <c r="B413" s="5"/>
      <c r="C413" s="5"/>
      <c r="D413" s="5"/>
      <c r="E413" s="9"/>
      <c r="F413" s="5"/>
      <c r="H413" s="28"/>
      <c r="I413" s="5"/>
      <c r="J413" s="5"/>
      <c r="M413" s="28"/>
      <c r="O413" s="25"/>
      <c r="P413" s="25"/>
      <c r="Q413" s="25"/>
      <c r="R413" s="10"/>
      <c r="S413" s="10"/>
      <c r="T413" s="14"/>
    </row>
    <row r="414">
      <c r="A414" s="37"/>
      <c r="B414" s="5"/>
      <c r="C414" s="5"/>
      <c r="D414" s="5"/>
      <c r="E414" s="9"/>
      <c r="F414" s="5"/>
      <c r="H414" s="28"/>
      <c r="I414" s="5"/>
      <c r="J414" s="5"/>
      <c r="M414" s="28"/>
      <c r="O414" s="25"/>
      <c r="P414" s="25"/>
      <c r="Q414" s="25"/>
      <c r="R414" s="10"/>
      <c r="S414" s="10"/>
      <c r="T414" s="14"/>
    </row>
    <row r="415">
      <c r="A415" s="37"/>
      <c r="B415" s="5"/>
      <c r="C415" s="5"/>
      <c r="D415" s="5"/>
      <c r="E415" s="9"/>
      <c r="F415" s="5"/>
      <c r="H415" s="28"/>
      <c r="I415" s="5"/>
      <c r="J415" s="5"/>
      <c r="M415" s="28"/>
      <c r="O415" s="25"/>
      <c r="P415" s="25"/>
      <c r="Q415" s="25"/>
      <c r="R415" s="10"/>
      <c r="S415" s="10"/>
      <c r="T415" s="14"/>
    </row>
    <row r="416">
      <c r="A416" s="37"/>
      <c r="B416" s="5"/>
      <c r="C416" s="5"/>
      <c r="D416" s="5"/>
      <c r="E416" s="9"/>
      <c r="F416" s="5"/>
      <c r="H416" s="28"/>
      <c r="I416" s="5"/>
      <c r="J416" s="5"/>
      <c r="M416" s="28"/>
      <c r="O416" s="25"/>
      <c r="P416" s="25"/>
      <c r="Q416" s="25"/>
      <c r="R416" s="10"/>
      <c r="S416" s="10"/>
      <c r="T416" s="14"/>
    </row>
    <row r="417">
      <c r="A417" s="37"/>
      <c r="B417" s="5"/>
      <c r="C417" s="5"/>
      <c r="D417" s="5"/>
      <c r="E417" s="9"/>
      <c r="F417" s="5"/>
      <c r="H417" s="28"/>
      <c r="I417" s="5"/>
      <c r="J417" s="5"/>
      <c r="M417" s="28"/>
      <c r="O417" s="25"/>
      <c r="P417" s="25"/>
      <c r="Q417" s="25"/>
      <c r="R417" s="10"/>
      <c r="S417" s="10"/>
      <c r="T417" s="14"/>
    </row>
    <row r="418">
      <c r="A418" s="37"/>
      <c r="B418" s="5"/>
      <c r="C418" s="5"/>
      <c r="D418" s="5"/>
      <c r="E418" s="9"/>
      <c r="F418" s="5"/>
      <c r="H418" s="28"/>
      <c r="I418" s="5"/>
      <c r="J418" s="5"/>
      <c r="M418" s="28"/>
      <c r="O418" s="25"/>
      <c r="P418" s="25"/>
      <c r="Q418" s="25"/>
      <c r="R418" s="10"/>
      <c r="S418" s="10"/>
      <c r="T418" s="14"/>
    </row>
    <row r="419">
      <c r="A419" s="37"/>
      <c r="B419" s="5"/>
      <c r="C419" s="5"/>
      <c r="D419" s="5"/>
      <c r="E419" s="9"/>
      <c r="F419" s="5"/>
      <c r="H419" s="28"/>
      <c r="I419" s="5"/>
      <c r="J419" s="5"/>
      <c r="M419" s="28"/>
      <c r="O419" s="25"/>
      <c r="P419" s="25"/>
      <c r="Q419" s="25"/>
      <c r="R419" s="10"/>
      <c r="S419" s="10"/>
      <c r="T419" s="14"/>
    </row>
    <row r="420">
      <c r="A420" s="37"/>
      <c r="B420" s="5"/>
      <c r="C420" s="5"/>
      <c r="D420" s="5"/>
      <c r="E420" s="9"/>
      <c r="F420" s="5"/>
      <c r="H420" s="28"/>
      <c r="I420" s="5"/>
      <c r="J420" s="5"/>
      <c r="M420" s="28"/>
      <c r="O420" s="25"/>
      <c r="P420" s="25"/>
      <c r="Q420" s="25"/>
      <c r="R420" s="10"/>
      <c r="S420" s="10"/>
      <c r="T420" s="14"/>
    </row>
    <row r="421">
      <c r="A421" s="37"/>
      <c r="B421" s="5"/>
      <c r="C421" s="5"/>
      <c r="D421" s="5"/>
      <c r="E421" s="9"/>
      <c r="F421" s="5"/>
      <c r="H421" s="28"/>
      <c r="I421" s="5"/>
      <c r="J421" s="5"/>
      <c r="M421" s="28"/>
      <c r="O421" s="25"/>
      <c r="P421" s="25"/>
      <c r="Q421" s="25"/>
      <c r="R421" s="10"/>
      <c r="S421" s="10"/>
      <c r="T421" s="14"/>
    </row>
    <row r="422">
      <c r="A422" s="37"/>
      <c r="B422" s="5"/>
      <c r="C422" s="5"/>
      <c r="D422" s="5"/>
      <c r="E422" s="9"/>
      <c r="F422" s="5"/>
      <c r="H422" s="28"/>
      <c r="I422" s="5"/>
      <c r="J422" s="5"/>
      <c r="M422" s="28"/>
      <c r="O422" s="25"/>
      <c r="P422" s="25"/>
      <c r="Q422" s="25"/>
      <c r="R422" s="10"/>
      <c r="S422" s="10"/>
      <c r="T422" s="14"/>
    </row>
    <row r="423">
      <c r="A423" s="37"/>
      <c r="B423" s="5"/>
      <c r="C423" s="5"/>
      <c r="D423" s="5"/>
      <c r="E423" s="9"/>
      <c r="F423" s="5"/>
      <c r="H423" s="28"/>
      <c r="I423" s="5"/>
      <c r="J423" s="5"/>
      <c r="M423" s="28"/>
      <c r="O423" s="25"/>
      <c r="P423" s="25"/>
      <c r="Q423" s="25"/>
      <c r="R423" s="10"/>
      <c r="S423" s="10"/>
      <c r="T423" s="14"/>
    </row>
    <row r="424">
      <c r="A424" s="37"/>
      <c r="B424" s="5"/>
      <c r="C424" s="5"/>
      <c r="D424" s="5"/>
      <c r="E424" s="9"/>
      <c r="F424" s="5"/>
      <c r="H424" s="28"/>
      <c r="I424" s="5"/>
      <c r="J424" s="5"/>
      <c r="M424" s="28"/>
      <c r="O424" s="25"/>
      <c r="P424" s="25"/>
      <c r="Q424" s="25"/>
      <c r="R424" s="10"/>
      <c r="S424" s="10"/>
      <c r="T424" s="14"/>
    </row>
    <row r="425">
      <c r="A425" s="37"/>
      <c r="B425" s="5"/>
      <c r="C425" s="5"/>
      <c r="D425" s="5"/>
      <c r="E425" s="9"/>
      <c r="F425" s="5"/>
      <c r="H425" s="28"/>
      <c r="I425" s="5"/>
      <c r="J425" s="5"/>
      <c r="M425" s="28"/>
      <c r="O425" s="25"/>
      <c r="P425" s="25"/>
      <c r="Q425" s="25"/>
      <c r="R425" s="10"/>
      <c r="S425" s="10"/>
      <c r="T425" s="14"/>
    </row>
    <row r="426">
      <c r="A426" s="37"/>
      <c r="B426" s="5"/>
      <c r="C426" s="5"/>
      <c r="D426" s="5"/>
      <c r="E426" s="9"/>
      <c r="F426" s="5"/>
      <c r="H426" s="28"/>
      <c r="I426" s="5"/>
      <c r="J426" s="5"/>
      <c r="M426" s="28"/>
      <c r="O426" s="25"/>
      <c r="P426" s="25"/>
      <c r="Q426" s="25"/>
      <c r="R426" s="10"/>
      <c r="S426" s="10"/>
      <c r="T426" s="14"/>
    </row>
    <row r="427">
      <c r="A427" s="37"/>
      <c r="B427" s="5"/>
      <c r="C427" s="5"/>
      <c r="D427" s="5"/>
      <c r="E427" s="9"/>
      <c r="F427" s="5"/>
      <c r="H427" s="28"/>
      <c r="I427" s="5"/>
      <c r="J427" s="5"/>
      <c r="M427" s="28"/>
      <c r="O427" s="25"/>
      <c r="P427" s="25"/>
      <c r="Q427" s="25"/>
      <c r="R427" s="10"/>
      <c r="S427" s="10"/>
      <c r="T427" s="14"/>
    </row>
    <row r="428">
      <c r="A428" s="37"/>
      <c r="B428" s="5"/>
      <c r="C428" s="5"/>
      <c r="D428" s="5"/>
      <c r="E428" s="9"/>
      <c r="F428" s="5"/>
      <c r="H428" s="28"/>
      <c r="I428" s="5"/>
      <c r="J428" s="5"/>
      <c r="M428" s="28"/>
      <c r="O428" s="25"/>
      <c r="P428" s="25"/>
      <c r="Q428" s="25"/>
      <c r="R428" s="10"/>
      <c r="S428" s="10"/>
      <c r="T428" s="14"/>
    </row>
    <row r="429">
      <c r="A429" s="37"/>
      <c r="B429" s="5"/>
      <c r="C429" s="5"/>
      <c r="D429" s="5"/>
      <c r="E429" s="9"/>
      <c r="F429" s="5"/>
      <c r="H429" s="28"/>
      <c r="I429" s="5"/>
      <c r="J429" s="5"/>
      <c r="M429" s="28"/>
      <c r="O429" s="25"/>
      <c r="P429" s="25"/>
      <c r="Q429" s="25"/>
      <c r="R429" s="10"/>
      <c r="S429" s="10"/>
      <c r="T429" s="14"/>
    </row>
    <row r="430">
      <c r="A430" s="37"/>
      <c r="B430" s="5"/>
      <c r="C430" s="5"/>
      <c r="D430" s="5"/>
      <c r="E430" s="9"/>
      <c r="F430" s="5"/>
      <c r="H430" s="28"/>
      <c r="I430" s="5"/>
      <c r="J430" s="5"/>
      <c r="M430" s="28"/>
      <c r="O430" s="25"/>
      <c r="P430" s="25"/>
      <c r="Q430" s="25"/>
      <c r="R430" s="10"/>
      <c r="S430" s="10"/>
      <c r="T430" s="14"/>
    </row>
    <row r="431">
      <c r="A431" s="37"/>
      <c r="B431" s="5"/>
      <c r="C431" s="5"/>
      <c r="D431" s="5"/>
      <c r="E431" s="9"/>
      <c r="F431" s="5"/>
      <c r="H431" s="28"/>
      <c r="I431" s="5"/>
      <c r="J431" s="5"/>
      <c r="M431" s="28"/>
      <c r="O431" s="25"/>
      <c r="P431" s="25"/>
      <c r="Q431" s="25"/>
      <c r="R431" s="10"/>
      <c r="S431" s="10"/>
      <c r="T431" s="14"/>
    </row>
    <row r="432">
      <c r="A432" s="37"/>
      <c r="B432" s="5"/>
      <c r="C432" s="5"/>
      <c r="D432" s="5"/>
      <c r="E432" s="9"/>
      <c r="F432" s="5"/>
      <c r="H432" s="28"/>
      <c r="I432" s="5"/>
      <c r="J432" s="5"/>
      <c r="M432" s="28"/>
      <c r="O432" s="25"/>
      <c r="P432" s="25"/>
      <c r="Q432" s="25"/>
      <c r="R432" s="10"/>
      <c r="S432" s="10"/>
      <c r="T432" s="14"/>
    </row>
    <row r="433">
      <c r="A433" s="37"/>
      <c r="B433" s="5"/>
      <c r="C433" s="5"/>
      <c r="D433" s="5"/>
      <c r="E433" s="9"/>
      <c r="F433" s="5"/>
      <c r="H433" s="28"/>
      <c r="I433" s="5"/>
      <c r="J433" s="5"/>
      <c r="M433" s="28"/>
      <c r="O433" s="25"/>
      <c r="P433" s="25"/>
      <c r="Q433" s="25"/>
      <c r="R433" s="10"/>
      <c r="S433" s="10"/>
      <c r="T433" s="14"/>
    </row>
    <row r="434">
      <c r="A434" s="37"/>
      <c r="B434" s="5"/>
      <c r="C434" s="5"/>
      <c r="D434" s="5"/>
      <c r="E434" s="9"/>
      <c r="F434" s="5"/>
      <c r="H434" s="28"/>
      <c r="I434" s="5"/>
      <c r="J434" s="5"/>
      <c r="M434" s="28"/>
      <c r="O434" s="25"/>
      <c r="P434" s="25"/>
      <c r="Q434" s="25"/>
      <c r="R434" s="10"/>
      <c r="S434" s="10"/>
      <c r="T434" s="14"/>
    </row>
    <row r="435">
      <c r="A435" s="37"/>
      <c r="B435" s="5"/>
      <c r="C435" s="5"/>
      <c r="D435" s="5"/>
      <c r="E435" s="9"/>
      <c r="F435" s="5"/>
      <c r="H435" s="28"/>
      <c r="I435" s="5"/>
      <c r="J435" s="5"/>
      <c r="M435" s="28"/>
      <c r="O435" s="25"/>
      <c r="P435" s="25"/>
      <c r="Q435" s="25"/>
      <c r="R435" s="10"/>
      <c r="S435" s="10"/>
      <c r="T435" s="14"/>
    </row>
    <row r="436">
      <c r="A436" s="37"/>
      <c r="B436" s="5"/>
      <c r="C436" s="5"/>
      <c r="D436" s="5"/>
      <c r="E436" s="9"/>
      <c r="F436" s="5"/>
      <c r="H436" s="28"/>
      <c r="I436" s="5"/>
      <c r="J436" s="5"/>
      <c r="M436" s="28"/>
      <c r="O436" s="25"/>
      <c r="P436" s="25"/>
      <c r="Q436" s="25"/>
      <c r="R436" s="10"/>
      <c r="S436" s="10"/>
      <c r="T436" s="14"/>
    </row>
    <row r="437">
      <c r="A437" s="37"/>
      <c r="B437" s="5"/>
      <c r="C437" s="5"/>
      <c r="D437" s="5"/>
      <c r="E437" s="9"/>
      <c r="F437" s="5"/>
      <c r="H437" s="28"/>
      <c r="I437" s="5"/>
      <c r="J437" s="5"/>
      <c r="M437" s="28"/>
      <c r="O437" s="25"/>
      <c r="P437" s="25"/>
      <c r="Q437" s="25"/>
      <c r="R437" s="10"/>
      <c r="S437" s="10"/>
      <c r="T437" s="14"/>
    </row>
    <row r="438">
      <c r="A438" s="37"/>
      <c r="B438" s="5"/>
      <c r="C438" s="5"/>
      <c r="D438" s="5"/>
      <c r="E438" s="9"/>
      <c r="F438" s="5"/>
      <c r="H438" s="28"/>
      <c r="I438" s="5"/>
      <c r="J438" s="5"/>
      <c r="M438" s="28"/>
      <c r="O438" s="25"/>
      <c r="P438" s="25"/>
      <c r="Q438" s="25"/>
      <c r="R438" s="10"/>
      <c r="S438" s="10"/>
      <c r="T438" s="14"/>
    </row>
    <row r="439">
      <c r="A439" s="37"/>
      <c r="B439" s="5"/>
      <c r="C439" s="5"/>
      <c r="D439" s="5"/>
      <c r="E439" s="9"/>
      <c r="F439" s="5"/>
      <c r="H439" s="28"/>
      <c r="I439" s="5"/>
      <c r="J439" s="5"/>
      <c r="M439" s="28"/>
      <c r="O439" s="25"/>
      <c r="P439" s="25"/>
      <c r="Q439" s="25"/>
      <c r="R439" s="10"/>
      <c r="S439" s="10"/>
      <c r="T439" s="14"/>
    </row>
    <row r="440">
      <c r="A440" s="37"/>
      <c r="B440" s="5"/>
      <c r="C440" s="5"/>
      <c r="D440" s="5"/>
      <c r="E440" s="9"/>
      <c r="F440" s="5"/>
      <c r="H440" s="28"/>
      <c r="I440" s="5"/>
      <c r="J440" s="5"/>
      <c r="M440" s="28"/>
      <c r="O440" s="25"/>
      <c r="P440" s="25"/>
      <c r="Q440" s="25"/>
      <c r="R440" s="10"/>
      <c r="S440" s="10"/>
      <c r="T440" s="14"/>
    </row>
    <row r="441">
      <c r="A441" s="37"/>
      <c r="B441" s="5"/>
      <c r="C441" s="5"/>
      <c r="D441" s="5"/>
      <c r="E441" s="9"/>
      <c r="F441" s="5"/>
      <c r="H441" s="28"/>
      <c r="I441" s="5"/>
      <c r="J441" s="5"/>
      <c r="M441" s="28"/>
      <c r="O441" s="25"/>
      <c r="P441" s="25"/>
      <c r="Q441" s="25"/>
      <c r="R441" s="10"/>
      <c r="S441" s="10"/>
      <c r="T441" s="14"/>
    </row>
    <row r="442">
      <c r="A442" s="37"/>
      <c r="B442" s="5"/>
      <c r="C442" s="5"/>
      <c r="D442" s="5"/>
      <c r="E442" s="9"/>
      <c r="F442" s="5"/>
      <c r="H442" s="28"/>
      <c r="I442" s="5"/>
      <c r="J442" s="5"/>
      <c r="M442" s="28"/>
      <c r="O442" s="25"/>
      <c r="P442" s="25"/>
      <c r="Q442" s="25"/>
      <c r="R442" s="10"/>
      <c r="S442" s="10"/>
      <c r="T442" s="14"/>
    </row>
    <row r="443">
      <c r="A443" s="37"/>
      <c r="B443" s="5"/>
      <c r="C443" s="5"/>
      <c r="D443" s="5"/>
      <c r="E443" s="9"/>
      <c r="F443" s="5"/>
      <c r="H443" s="28"/>
      <c r="I443" s="5"/>
      <c r="J443" s="5"/>
      <c r="M443" s="28"/>
      <c r="O443" s="25"/>
      <c r="P443" s="25"/>
      <c r="Q443" s="25"/>
      <c r="R443" s="10"/>
      <c r="S443" s="10"/>
      <c r="T443" s="14"/>
    </row>
    <row r="444">
      <c r="A444" s="37"/>
      <c r="B444" s="5"/>
      <c r="C444" s="5"/>
      <c r="D444" s="5"/>
      <c r="E444" s="9"/>
      <c r="F444" s="5"/>
      <c r="H444" s="28"/>
      <c r="I444" s="5"/>
      <c r="J444" s="5"/>
      <c r="M444" s="28"/>
      <c r="O444" s="25"/>
      <c r="P444" s="25"/>
      <c r="Q444" s="25"/>
      <c r="R444" s="10"/>
      <c r="S444" s="10"/>
      <c r="T444" s="14"/>
    </row>
    <row r="445">
      <c r="A445" s="37"/>
      <c r="B445" s="5"/>
      <c r="C445" s="5"/>
      <c r="D445" s="5"/>
      <c r="E445" s="9"/>
      <c r="F445" s="5"/>
      <c r="H445" s="28"/>
      <c r="I445" s="5"/>
      <c r="J445" s="5"/>
      <c r="M445" s="28"/>
      <c r="O445" s="25"/>
      <c r="P445" s="25"/>
      <c r="Q445" s="25"/>
      <c r="R445" s="10"/>
      <c r="S445" s="10"/>
      <c r="T445" s="14"/>
    </row>
    <row r="446">
      <c r="A446" s="37"/>
      <c r="B446" s="5"/>
      <c r="C446" s="5"/>
      <c r="D446" s="5"/>
      <c r="E446" s="9"/>
      <c r="F446" s="5"/>
      <c r="H446" s="28"/>
      <c r="I446" s="5"/>
      <c r="J446" s="5"/>
      <c r="M446" s="28"/>
      <c r="O446" s="25"/>
      <c r="P446" s="25"/>
      <c r="Q446" s="25"/>
      <c r="R446" s="10"/>
      <c r="S446" s="10"/>
      <c r="T446" s="14"/>
    </row>
    <row r="447">
      <c r="A447" s="37"/>
      <c r="B447" s="5"/>
      <c r="C447" s="5"/>
      <c r="D447" s="5"/>
      <c r="E447" s="9"/>
      <c r="F447" s="5"/>
      <c r="H447" s="28"/>
      <c r="I447" s="5"/>
      <c r="J447" s="5"/>
      <c r="M447" s="28"/>
      <c r="O447" s="25"/>
      <c r="P447" s="25"/>
      <c r="Q447" s="25"/>
      <c r="R447" s="10"/>
      <c r="S447" s="10"/>
      <c r="T447" s="14"/>
    </row>
    <row r="448">
      <c r="A448" s="37"/>
      <c r="B448" s="5"/>
      <c r="C448" s="5"/>
      <c r="D448" s="5"/>
      <c r="E448" s="9"/>
      <c r="F448" s="5"/>
      <c r="H448" s="28"/>
      <c r="I448" s="5"/>
      <c r="J448" s="5"/>
      <c r="M448" s="28"/>
      <c r="O448" s="25"/>
      <c r="P448" s="25"/>
      <c r="Q448" s="25"/>
      <c r="R448" s="10"/>
      <c r="S448" s="10"/>
      <c r="T448" s="14"/>
    </row>
    <row r="449">
      <c r="A449" s="37"/>
      <c r="B449" s="5"/>
      <c r="C449" s="5"/>
      <c r="D449" s="5"/>
      <c r="E449" s="9"/>
      <c r="F449" s="5"/>
      <c r="H449" s="28"/>
      <c r="I449" s="5"/>
      <c r="J449" s="5"/>
      <c r="M449" s="28"/>
      <c r="O449" s="25"/>
      <c r="P449" s="25"/>
      <c r="Q449" s="25"/>
      <c r="R449" s="10"/>
      <c r="S449" s="10"/>
      <c r="T449" s="14"/>
    </row>
    <row r="450">
      <c r="A450" s="37"/>
      <c r="B450" s="5"/>
      <c r="C450" s="5"/>
      <c r="D450" s="5"/>
      <c r="E450" s="9"/>
      <c r="F450" s="5"/>
      <c r="H450" s="28"/>
      <c r="I450" s="5"/>
      <c r="J450" s="5"/>
      <c r="M450" s="28"/>
      <c r="O450" s="25"/>
      <c r="P450" s="25"/>
      <c r="Q450" s="25"/>
      <c r="R450" s="10"/>
      <c r="S450" s="10"/>
      <c r="T450" s="14"/>
    </row>
    <row r="451">
      <c r="A451" s="37"/>
      <c r="B451" s="5"/>
      <c r="C451" s="5"/>
      <c r="D451" s="5"/>
      <c r="E451" s="9"/>
      <c r="F451" s="5"/>
      <c r="H451" s="28"/>
      <c r="I451" s="5"/>
      <c r="J451" s="5"/>
      <c r="M451" s="28"/>
      <c r="O451" s="25"/>
      <c r="P451" s="25"/>
      <c r="Q451" s="25"/>
      <c r="R451" s="10"/>
      <c r="S451" s="10"/>
      <c r="T451" s="14"/>
    </row>
    <row r="452">
      <c r="A452" s="37"/>
      <c r="B452" s="5"/>
      <c r="C452" s="5"/>
      <c r="D452" s="5"/>
      <c r="E452" s="9"/>
      <c r="F452" s="5"/>
      <c r="H452" s="28"/>
      <c r="I452" s="5"/>
      <c r="J452" s="5"/>
      <c r="M452" s="28"/>
      <c r="O452" s="25"/>
      <c r="P452" s="25"/>
      <c r="Q452" s="25"/>
      <c r="R452" s="10"/>
      <c r="S452" s="10"/>
      <c r="T452" s="14"/>
    </row>
    <row r="453">
      <c r="A453" s="37"/>
      <c r="B453" s="5"/>
      <c r="C453" s="5"/>
      <c r="D453" s="5"/>
      <c r="E453" s="9"/>
      <c r="F453" s="5"/>
      <c r="H453" s="28"/>
      <c r="I453" s="5"/>
      <c r="J453" s="5"/>
      <c r="M453" s="28"/>
      <c r="O453" s="25"/>
      <c r="P453" s="25"/>
      <c r="Q453" s="25"/>
      <c r="R453" s="10"/>
      <c r="S453" s="10"/>
      <c r="T453" s="14"/>
    </row>
    <row r="454">
      <c r="A454" s="37"/>
      <c r="B454" s="5"/>
      <c r="C454" s="5"/>
      <c r="D454" s="5"/>
      <c r="E454" s="9"/>
      <c r="F454" s="5"/>
      <c r="H454" s="28"/>
      <c r="I454" s="5"/>
      <c r="J454" s="5"/>
      <c r="M454" s="28"/>
      <c r="O454" s="25"/>
      <c r="P454" s="25"/>
      <c r="Q454" s="25"/>
      <c r="R454" s="10"/>
      <c r="S454" s="10"/>
      <c r="T454" s="14"/>
    </row>
    <row r="455">
      <c r="A455" s="37"/>
      <c r="B455" s="5"/>
      <c r="C455" s="5"/>
      <c r="D455" s="5"/>
      <c r="E455" s="9"/>
      <c r="F455" s="5"/>
      <c r="H455" s="28"/>
      <c r="I455" s="5"/>
      <c r="J455" s="5"/>
      <c r="M455" s="28"/>
      <c r="O455" s="25"/>
      <c r="P455" s="25"/>
      <c r="Q455" s="25"/>
      <c r="R455" s="10"/>
      <c r="S455" s="10"/>
      <c r="T455" s="14"/>
    </row>
    <row r="456">
      <c r="A456" s="37"/>
      <c r="B456" s="5"/>
      <c r="C456" s="5"/>
      <c r="D456" s="5"/>
      <c r="E456" s="9"/>
      <c r="F456" s="5"/>
      <c r="H456" s="28"/>
      <c r="I456" s="5"/>
      <c r="J456" s="5"/>
      <c r="M456" s="28"/>
      <c r="O456" s="25"/>
      <c r="P456" s="25"/>
      <c r="Q456" s="25"/>
      <c r="R456" s="10"/>
      <c r="S456" s="10"/>
      <c r="T456" s="14"/>
    </row>
    <row r="457">
      <c r="A457" s="37"/>
      <c r="B457" s="5"/>
      <c r="C457" s="5"/>
      <c r="D457" s="5"/>
      <c r="E457" s="9"/>
      <c r="F457" s="5"/>
      <c r="H457" s="28"/>
      <c r="I457" s="5"/>
      <c r="J457" s="5"/>
      <c r="M457" s="28"/>
      <c r="O457" s="25"/>
      <c r="P457" s="25"/>
      <c r="Q457" s="25"/>
      <c r="R457" s="10"/>
      <c r="S457" s="10"/>
      <c r="T457" s="14"/>
    </row>
    <row r="458">
      <c r="A458" s="37"/>
      <c r="B458" s="5"/>
      <c r="C458" s="5"/>
      <c r="D458" s="5"/>
      <c r="E458" s="9"/>
      <c r="F458" s="5"/>
      <c r="H458" s="28"/>
      <c r="I458" s="5"/>
      <c r="J458" s="5"/>
      <c r="M458" s="28"/>
      <c r="O458" s="25"/>
      <c r="P458" s="25"/>
      <c r="Q458" s="25"/>
      <c r="R458" s="10"/>
      <c r="S458" s="10"/>
      <c r="T458" s="14"/>
    </row>
    <row r="459">
      <c r="A459" s="37"/>
      <c r="B459" s="5"/>
      <c r="C459" s="5"/>
      <c r="D459" s="5"/>
      <c r="E459" s="9"/>
      <c r="F459" s="5"/>
      <c r="H459" s="28"/>
      <c r="I459" s="5"/>
      <c r="J459" s="5"/>
      <c r="M459" s="28"/>
      <c r="O459" s="25"/>
      <c r="P459" s="25"/>
      <c r="Q459" s="25"/>
      <c r="R459" s="10"/>
      <c r="S459" s="10"/>
      <c r="T459" s="14"/>
    </row>
    <row r="460">
      <c r="A460" s="37"/>
      <c r="B460" s="5"/>
      <c r="C460" s="5"/>
      <c r="D460" s="5"/>
      <c r="E460" s="9"/>
      <c r="F460" s="5"/>
      <c r="H460" s="28"/>
      <c r="I460" s="5"/>
      <c r="J460" s="5"/>
      <c r="M460" s="28"/>
      <c r="O460" s="25"/>
      <c r="P460" s="25"/>
      <c r="Q460" s="25"/>
      <c r="R460" s="10"/>
      <c r="S460" s="10"/>
      <c r="T460" s="14"/>
    </row>
    <row r="461">
      <c r="A461" s="37"/>
      <c r="B461" s="5"/>
      <c r="C461" s="5"/>
      <c r="D461" s="5"/>
      <c r="E461" s="9"/>
      <c r="F461" s="5"/>
      <c r="H461" s="28"/>
      <c r="I461" s="5"/>
      <c r="J461" s="5"/>
      <c r="M461" s="28"/>
      <c r="O461" s="25"/>
      <c r="P461" s="25"/>
      <c r="Q461" s="25"/>
      <c r="R461" s="10"/>
      <c r="S461" s="10"/>
      <c r="T461" s="14"/>
    </row>
    <row r="462">
      <c r="A462" s="37"/>
      <c r="B462" s="5"/>
      <c r="C462" s="5"/>
      <c r="D462" s="5"/>
      <c r="E462" s="9"/>
      <c r="F462" s="5"/>
      <c r="H462" s="28"/>
      <c r="I462" s="5"/>
      <c r="J462" s="5"/>
      <c r="M462" s="28"/>
      <c r="O462" s="25"/>
      <c r="P462" s="25"/>
      <c r="Q462" s="25"/>
      <c r="R462" s="10"/>
      <c r="S462" s="10"/>
      <c r="T462" s="14"/>
    </row>
    <row r="463">
      <c r="A463" s="37"/>
      <c r="B463" s="5"/>
      <c r="C463" s="5"/>
      <c r="D463" s="5"/>
      <c r="E463" s="9"/>
      <c r="F463" s="5"/>
      <c r="H463" s="28"/>
      <c r="I463" s="5"/>
      <c r="J463" s="5"/>
      <c r="M463" s="28"/>
      <c r="O463" s="25"/>
      <c r="P463" s="25"/>
      <c r="Q463" s="25"/>
      <c r="R463" s="10"/>
      <c r="S463" s="10"/>
      <c r="T463" s="14"/>
    </row>
    <row r="464">
      <c r="A464" s="37"/>
      <c r="B464" s="5"/>
      <c r="C464" s="5"/>
      <c r="D464" s="5"/>
      <c r="E464" s="9"/>
      <c r="F464" s="5"/>
      <c r="H464" s="28"/>
      <c r="I464" s="5"/>
      <c r="J464" s="5"/>
      <c r="M464" s="28"/>
      <c r="O464" s="25"/>
      <c r="P464" s="25"/>
      <c r="Q464" s="25"/>
      <c r="R464" s="10"/>
      <c r="S464" s="10"/>
      <c r="T464" s="14"/>
    </row>
    <row r="465">
      <c r="A465" s="37"/>
      <c r="B465" s="5"/>
      <c r="C465" s="5"/>
      <c r="D465" s="5"/>
      <c r="E465" s="9"/>
      <c r="F465" s="5"/>
      <c r="H465" s="28"/>
      <c r="I465" s="5"/>
      <c r="J465" s="5"/>
      <c r="M465" s="28"/>
      <c r="O465" s="25"/>
      <c r="P465" s="25"/>
      <c r="Q465" s="25"/>
      <c r="R465" s="10"/>
      <c r="S465" s="10"/>
      <c r="T465" s="14"/>
    </row>
    <row r="466">
      <c r="A466" s="37"/>
      <c r="B466" s="5"/>
      <c r="C466" s="5"/>
      <c r="D466" s="5"/>
      <c r="E466" s="9"/>
      <c r="F466" s="5"/>
      <c r="H466" s="28"/>
      <c r="I466" s="5"/>
      <c r="J466" s="5"/>
      <c r="M466" s="28"/>
      <c r="O466" s="25"/>
      <c r="P466" s="25"/>
      <c r="Q466" s="25"/>
      <c r="R466" s="10"/>
      <c r="S466" s="10"/>
      <c r="T466" s="14"/>
    </row>
    <row r="467">
      <c r="A467" s="37"/>
      <c r="B467" s="5"/>
      <c r="C467" s="5"/>
      <c r="D467" s="5"/>
      <c r="E467" s="9"/>
      <c r="F467" s="5"/>
      <c r="H467" s="28"/>
      <c r="I467" s="5"/>
      <c r="J467" s="5"/>
      <c r="M467" s="28"/>
      <c r="O467" s="25"/>
      <c r="P467" s="25"/>
      <c r="Q467" s="25"/>
      <c r="R467" s="10"/>
      <c r="S467" s="10"/>
      <c r="T467" s="14"/>
    </row>
    <row r="468">
      <c r="A468" s="37"/>
      <c r="B468" s="5"/>
      <c r="C468" s="5"/>
      <c r="D468" s="5"/>
      <c r="E468" s="9"/>
      <c r="F468" s="5"/>
      <c r="H468" s="28"/>
      <c r="I468" s="5"/>
      <c r="J468" s="5"/>
      <c r="M468" s="28"/>
      <c r="O468" s="25"/>
      <c r="P468" s="25"/>
      <c r="Q468" s="25"/>
      <c r="R468" s="10"/>
      <c r="S468" s="10"/>
      <c r="T468" s="14"/>
    </row>
    <row r="469">
      <c r="A469" s="37"/>
      <c r="B469" s="5"/>
      <c r="C469" s="5"/>
      <c r="D469" s="5"/>
      <c r="E469" s="9"/>
      <c r="F469" s="5"/>
      <c r="H469" s="28"/>
      <c r="I469" s="5"/>
      <c r="J469" s="5"/>
      <c r="M469" s="28"/>
      <c r="O469" s="25"/>
      <c r="P469" s="25"/>
      <c r="Q469" s="25"/>
      <c r="R469" s="10"/>
      <c r="S469" s="10"/>
      <c r="T469" s="14"/>
    </row>
    <row r="470">
      <c r="A470" s="37"/>
      <c r="B470" s="5"/>
      <c r="C470" s="5"/>
      <c r="D470" s="5"/>
      <c r="E470" s="9"/>
      <c r="F470" s="5"/>
      <c r="H470" s="28"/>
      <c r="I470" s="5"/>
      <c r="J470" s="5"/>
      <c r="M470" s="28"/>
      <c r="O470" s="25"/>
      <c r="P470" s="25"/>
      <c r="Q470" s="25"/>
      <c r="R470" s="10"/>
      <c r="S470" s="10"/>
      <c r="T470" s="14"/>
    </row>
    <row r="471">
      <c r="A471" s="37"/>
      <c r="B471" s="5"/>
      <c r="C471" s="5"/>
      <c r="D471" s="5"/>
      <c r="E471" s="9"/>
      <c r="F471" s="5"/>
      <c r="H471" s="28"/>
      <c r="I471" s="5"/>
      <c r="J471" s="5"/>
      <c r="M471" s="28"/>
      <c r="O471" s="25"/>
      <c r="P471" s="25"/>
      <c r="Q471" s="25"/>
      <c r="R471" s="10"/>
      <c r="S471" s="10"/>
      <c r="T471" s="14"/>
    </row>
    <row r="472">
      <c r="A472" s="37"/>
      <c r="B472" s="5"/>
      <c r="C472" s="5"/>
      <c r="D472" s="5"/>
      <c r="E472" s="9"/>
      <c r="F472" s="5"/>
      <c r="H472" s="28"/>
      <c r="I472" s="5"/>
      <c r="J472" s="5"/>
      <c r="M472" s="28"/>
      <c r="O472" s="25"/>
      <c r="P472" s="25"/>
      <c r="Q472" s="25"/>
      <c r="R472" s="10"/>
      <c r="S472" s="10"/>
      <c r="T472" s="14"/>
    </row>
    <row r="473">
      <c r="A473" s="37"/>
      <c r="B473" s="5"/>
      <c r="C473" s="5"/>
      <c r="D473" s="5"/>
      <c r="E473" s="9"/>
      <c r="F473" s="5"/>
      <c r="H473" s="28"/>
      <c r="I473" s="5"/>
      <c r="J473" s="5"/>
      <c r="M473" s="28"/>
      <c r="O473" s="25"/>
      <c r="P473" s="25"/>
      <c r="Q473" s="25"/>
      <c r="R473" s="10"/>
      <c r="S473" s="10"/>
      <c r="T473" s="14"/>
    </row>
    <row r="474">
      <c r="A474" s="37"/>
      <c r="B474" s="5"/>
      <c r="C474" s="5"/>
      <c r="D474" s="5"/>
      <c r="E474" s="9"/>
      <c r="F474" s="5"/>
      <c r="H474" s="28"/>
      <c r="I474" s="5"/>
      <c r="J474" s="5"/>
      <c r="M474" s="28"/>
      <c r="O474" s="25"/>
      <c r="P474" s="25"/>
      <c r="Q474" s="25"/>
      <c r="R474" s="10"/>
      <c r="S474" s="10"/>
      <c r="T474" s="14"/>
    </row>
    <row r="475">
      <c r="A475" s="37"/>
      <c r="B475" s="5"/>
      <c r="C475" s="5"/>
      <c r="D475" s="5"/>
      <c r="E475" s="9"/>
      <c r="F475" s="5"/>
      <c r="H475" s="28"/>
      <c r="I475" s="5"/>
      <c r="J475" s="5"/>
      <c r="M475" s="28"/>
      <c r="O475" s="25"/>
      <c r="P475" s="25"/>
      <c r="Q475" s="25"/>
      <c r="R475" s="10"/>
      <c r="S475" s="10"/>
      <c r="T475" s="14"/>
    </row>
    <row r="476">
      <c r="A476" s="37"/>
      <c r="B476" s="5"/>
      <c r="C476" s="5"/>
      <c r="D476" s="5"/>
      <c r="E476" s="9"/>
      <c r="F476" s="5"/>
      <c r="H476" s="28"/>
      <c r="I476" s="5"/>
      <c r="J476" s="5"/>
      <c r="M476" s="28"/>
      <c r="O476" s="25"/>
      <c r="P476" s="25"/>
      <c r="Q476" s="25"/>
      <c r="R476" s="10"/>
      <c r="S476" s="10"/>
      <c r="T476" s="14"/>
    </row>
    <row r="477">
      <c r="A477" s="37"/>
      <c r="B477" s="5"/>
      <c r="C477" s="5"/>
      <c r="D477" s="5"/>
      <c r="E477" s="9"/>
      <c r="F477" s="5"/>
      <c r="H477" s="28"/>
      <c r="I477" s="5"/>
      <c r="J477" s="5"/>
      <c r="M477" s="28"/>
      <c r="O477" s="25"/>
      <c r="P477" s="25"/>
      <c r="Q477" s="25"/>
      <c r="R477" s="10"/>
      <c r="S477" s="10"/>
      <c r="T477" s="14"/>
    </row>
    <row r="478">
      <c r="A478" s="37"/>
      <c r="B478" s="5"/>
      <c r="C478" s="5"/>
      <c r="D478" s="5"/>
      <c r="E478" s="9"/>
      <c r="F478" s="5"/>
      <c r="H478" s="28"/>
      <c r="I478" s="5"/>
      <c r="J478" s="5"/>
      <c r="M478" s="28"/>
      <c r="O478" s="25"/>
      <c r="P478" s="25"/>
      <c r="Q478" s="25"/>
      <c r="R478" s="10"/>
      <c r="S478" s="10"/>
      <c r="T478" s="14"/>
    </row>
    <row r="479">
      <c r="A479" s="37"/>
      <c r="B479" s="5"/>
      <c r="C479" s="5"/>
      <c r="D479" s="5"/>
      <c r="E479" s="9"/>
      <c r="F479" s="5"/>
      <c r="H479" s="28"/>
      <c r="I479" s="5"/>
      <c r="J479" s="5"/>
      <c r="M479" s="28"/>
      <c r="O479" s="25"/>
      <c r="P479" s="25"/>
      <c r="Q479" s="25"/>
      <c r="R479" s="10"/>
      <c r="S479" s="10"/>
      <c r="T479" s="14"/>
    </row>
    <row r="480">
      <c r="A480" s="37"/>
      <c r="B480" s="5"/>
      <c r="C480" s="5"/>
      <c r="D480" s="5"/>
      <c r="E480" s="9"/>
      <c r="F480" s="5"/>
      <c r="H480" s="28"/>
      <c r="I480" s="5"/>
      <c r="J480" s="5"/>
      <c r="M480" s="28"/>
      <c r="O480" s="25"/>
      <c r="P480" s="25"/>
      <c r="Q480" s="25"/>
      <c r="R480" s="10"/>
      <c r="S480" s="10"/>
      <c r="T480" s="14"/>
    </row>
    <row r="481">
      <c r="A481" s="37"/>
      <c r="B481" s="5"/>
      <c r="C481" s="5"/>
      <c r="D481" s="5"/>
      <c r="E481" s="9"/>
      <c r="F481" s="5"/>
      <c r="H481" s="28"/>
      <c r="I481" s="5"/>
      <c r="J481" s="5"/>
      <c r="M481" s="28"/>
      <c r="O481" s="25"/>
      <c r="P481" s="25"/>
      <c r="Q481" s="25"/>
      <c r="R481" s="10"/>
      <c r="S481" s="10"/>
      <c r="T481" s="14"/>
    </row>
    <row r="482">
      <c r="A482" s="37"/>
      <c r="B482" s="5"/>
      <c r="C482" s="5"/>
      <c r="D482" s="5"/>
      <c r="E482" s="9"/>
      <c r="F482" s="5"/>
      <c r="H482" s="28"/>
      <c r="I482" s="5"/>
      <c r="J482" s="5"/>
      <c r="M482" s="28"/>
      <c r="O482" s="25"/>
      <c r="P482" s="25"/>
      <c r="Q482" s="25"/>
      <c r="R482" s="10"/>
      <c r="S482" s="10"/>
      <c r="T482" s="14"/>
    </row>
    <row r="483">
      <c r="A483" s="37"/>
      <c r="B483" s="5"/>
      <c r="C483" s="5"/>
      <c r="D483" s="5"/>
      <c r="E483" s="9"/>
      <c r="F483" s="5"/>
      <c r="H483" s="28"/>
      <c r="I483" s="5"/>
      <c r="J483" s="5"/>
      <c r="M483" s="28"/>
      <c r="O483" s="25"/>
      <c r="P483" s="25"/>
      <c r="Q483" s="25"/>
      <c r="R483" s="10"/>
      <c r="S483" s="10"/>
      <c r="T483" s="14"/>
    </row>
    <row r="484">
      <c r="A484" s="37"/>
      <c r="B484" s="5"/>
      <c r="C484" s="5"/>
      <c r="D484" s="5"/>
      <c r="E484" s="9"/>
      <c r="F484" s="5"/>
      <c r="H484" s="28"/>
      <c r="I484" s="5"/>
      <c r="J484" s="5"/>
      <c r="M484" s="28"/>
      <c r="O484" s="25"/>
      <c r="P484" s="25"/>
      <c r="Q484" s="25"/>
      <c r="R484" s="10"/>
      <c r="S484" s="10"/>
      <c r="T484" s="14"/>
    </row>
    <row r="485">
      <c r="A485" s="37"/>
      <c r="B485" s="5"/>
      <c r="C485" s="5"/>
      <c r="D485" s="5"/>
      <c r="E485" s="9"/>
      <c r="F485" s="5"/>
      <c r="H485" s="28"/>
      <c r="I485" s="5"/>
      <c r="J485" s="5"/>
      <c r="M485" s="28"/>
      <c r="O485" s="25"/>
      <c r="P485" s="25"/>
      <c r="Q485" s="25"/>
      <c r="R485" s="10"/>
      <c r="S485" s="10"/>
      <c r="T485" s="14"/>
    </row>
    <row r="486">
      <c r="A486" s="37"/>
      <c r="B486" s="5"/>
      <c r="C486" s="5"/>
      <c r="D486" s="5"/>
      <c r="E486" s="9"/>
      <c r="F486" s="5"/>
      <c r="H486" s="28"/>
      <c r="I486" s="5"/>
      <c r="J486" s="5"/>
      <c r="M486" s="28"/>
      <c r="O486" s="25"/>
      <c r="P486" s="25"/>
      <c r="Q486" s="25"/>
      <c r="R486" s="10"/>
      <c r="S486" s="10"/>
      <c r="T486" s="14"/>
    </row>
    <row r="487">
      <c r="A487" s="37"/>
      <c r="B487" s="5"/>
      <c r="C487" s="5"/>
      <c r="D487" s="5"/>
      <c r="E487" s="9"/>
      <c r="F487" s="5"/>
      <c r="H487" s="28"/>
      <c r="I487" s="5"/>
      <c r="J487" s="5"/>
      <c r="M487" s="28"/>
      <c r="O487" s="25"/>
      <c r="P487" s="25"/>
      <c r="Q487" s="25"/>
      <c r="R487" s="10"/>
      <c r="S487" s="10"/>
      <c r="T487" s="14"/>
    </row>
    <row r="488">
      <c r="A488" s="37"/>
      <c r="B488" s="5"/>
      <c r="C488" s="5"/>
      <c r="D488" s="5"/>
      <c r="E488" s="9"/>
      <c r="F488" s="5"/>
      <c r="H488" s="28"/>
      <c r="I488" s="5"/>
      <c r="J488" s="5"/>
      <c r="M488" s="28"/>
      <c r="O488" s="25"/>
      <c r="P488" s="25"/>
      <c r="Q488" s="25"/>
      <c r="R488" s="10"/>
      <c r="S488" s="10"/>
      <c r="T488" s="14"/>
    </row>
    <row r="489">
      <c r="A489" s="37"/>
      <c r="B489" s="5"/>
      <c r="C489" s="5"/>
      <c r="D489" s="5"/>
      <c r="E489" s="9"/>
      <c r="F489" s="5"/>
      <c r="H489" s="28"/>
      <c r="I489" s="5"/>
      <c r="J489" s="5"/>
      <c r="M489" s="28"/>
      <c r="O489" s="25"/>
      <c r="P489" s="25"/>
      <c r="Q489" s="25"/>
      <c r="R489" s="10"/>
      <c r="S489" s="10"/>
      <c r="T489" s="14"/>
    </row>
    <row r="490">
      <c r="A490" s="37"/>
      <c r="B490" s="5"/>
      <c r="C490" s="5"/>
      <c r="D490" s="5"/>
      <c r="E490" s="9"/>
      <c r="F490" s="5"/>
      <c r="H490" s="28"/>
      <c r="I490" s="5"/>
      <c r="J490" s="5"/>
      <c r="M490" s="28"/>
      <c r="O490" s="25"/>
      <c r="P490" s="25"/>
      <c r="Q490" s="25"/>
      <c r="R490" s="10"/>
      <c r="S490" s="10"/>
      <c r="T490" s="14"/>
    </row>
    <row r="491">
      <c r="A491" s="37"/>
      <c r="B491" s="5"/>
      <c r="C491" s="5"/>
      <c r="D491" s="5"/>
      <c r="E491" s="9"/>
      <c r="F491" s="5"/>
      <c r="H491" s="28"/>
      <c r="I491" s="5"/>
      <c r="J491" s="5"/>
      <c r="M491" s="28"/>
      <c r="O491" s="25"/>
      <c r="P491" s="25"/>
      <c r="Q491" s="25"/>
      <c r="R491" s="10"/>
      <c r="S491" s="10"/>
      <c r="T491" s="14"/>
    </row>
    <row r="492">
      <c r="A492" s="37"/>
      <c r="B492" s="5"/>
      <c r="C492" s="5"/>
      <c r="D492" s="5"/>
      <c r="E492" s="9"/>
      <c r="F492" s="5"/>
      <c r="H492" s="28"/>
      <c r="I492" s="5"/>
      <c r="J492" s="5"/>
      <c r="M492" s="28"/>
      <c r="O492" s="25"/>
      <c r="P492" s="25"/>
      <c r="Q492" s="25"/>
      <c r="R492" s="10"/>
      <c r="S492" s="10"/>
      <c r="T492" s="14"/>
    </row>
    <row r="493">
      <c r="A493" s="37"/>
      <c r="B493" s="5"/>
      <c r="C493" s="5"/>
      <c r="D493" s="5"/>
      <c r="E493" s="9"/>
      <c r="F493" s="5"/>
      <c r="H493" s="28"/>
      <c r="I493" s="5"/>
      <c r="J493" s="5"/>
      <c r="M493" s="28"/>
      <c r="O493" s="25"/>
      <c r="P493" s="25"/>
      <c r="Q493" s="25"/>
      <c r="R493" s="10"/>
      <c r="S493" s="10"/>
      <c r="T493" s="14"/>
    </row>
    <row r="494">
      <c r="A494" s="37"/>
      <c r="B494" s="5"/>
      <c r="C494" s="5"/>
      <c r="D494" s="5"/>
      <c r="E494" s="9"/>
      <c r="F494" s="5"/>
      <c r="H494" s="28"/>
      <c r="I494" s="5"/>
      <c r="J494" s="5"/>
      <c r="M494" s="28"/>
      <c r="O494" s="25"/>
      <c r="P494" s="25"/>
      <c r="Q494" s="25"/>
      <c r="R494" s="10"/>
      <c r="S494" s="10"/>
      <c r="T494" s="14"/>
    </row>
    <row r="495">
      <c r="A495" s="37"/>
      <c r="B495" s="5"/>
      <c r="C495" s="5"/>
      <c r="D495" s="5"/>
      <c r="E495" s="9"/>
      <c r="F495" s="5"/>
      <c r="H495" s="28"/>
      <c r="I495" s="5"/>
      <c r="J495" s="5"/>
      <c r="M495" s="28"/>
      <c r="O495" s="25"/>
      <c r="P495" s="25"/>
      <c r="Q495" s="25"/>
      <c r="R495" s="10"/>
      <c r="S495" s="10"/>
      <c r="T495" s="14"/>
    </row>
    <row r="496">
      <c r="A496" s="37"/>
      <c r="B496" s="5"/>
      <c r="C496" s="5"/>
      <c r="D496" s="5"/>
      <c r="E496" s="9"/>
      <c r="F496" s="5"/>
      <c r="H496" s="28"/>
      <c r="I496" s="5"/>
      <c r="J496" s="5"/>
      <c r="M496" s="28"/>
      <c r="O496" s="25"/>
      <c r="P496" s="25"/>
      <c r="Q496" s="25"/>
      <c r="R496" s="10"/>
      <c r="S496" s="10"/>
      <c r="T496" s="14"/>
    </row>
    <row r="497">
      <c r="A497" s="37"/>
      <c r="B497" s="5"/>
      <c r="C497" s="5"/>
      <c r="D497" s="5"/>
      <c r="E497" s="9"/>
      <c r="F497" s="5"/>
      <c r="H497" s="28"/>
      <c r="I497" s="5"/>
      <c r="J497" s="5"/>
      <c r="M497" s="28"/>
      <c r="O497" s="25"/>
      <c r="P497" s="25"/>
      <c r="Q497" s="25"/>
      <c r="R497" s="10"/>
      <c r="S497" s="10"/>
      <c r="T497" s="14"/>
    </row>
    <row r="498">
      <c r="A498" s="37"/>
      <c r="B498" s="5"/>
      <c r="C498" s="5"/>
      <c r="D498" s="5"/>
      <c r="E498" s="9"/>
      <c r="F498" s="5"/>
      <c r="H498" s="28"/>
      <c r="I498" s="5"/>
      <c r="J498" s="5"/>
      <c r="M498" s="28"/>
      <c r="O498" s="25"/>
      <c r="P498" s="25"/>
      <c r="Q498" s="25"/>
      <c r="R498" s="10"/>
      <c r="S498" s="10"/>
      <c r="T498" s="14"/>
    </row>
    <row r="499">
      <c r="A499" s="37"/>
      <c r="B499" s="5"/>
      <c r="C499" s="5"/>
      <c r="D499" s="5"/>
      <c r="E499" s="9"/>
      <c r="F499" s="5"/>
      <c r="H499" s="28"/>
      <c r="I499" s="5"/>
      <c r="J499" s="5"/>
      <c r="M499" s="28"/>
      <c r="O499" s="25"/>
      <c r="P499" s="25"/>
      <c r="Q499" s="25"/>
      <c r="R499" s="10"/>
      <c r="S499" s="10"/>
      <c r="T499" s="14"/>
    </row>
    <row r="500">
      <c r="A500" s="37"/>
      <c r="B500" s="5"/>
      <c r="C500" s="5"/>
      <c r="D500" s="5"/>
      <c r="E500" s="9"/>
      <c r="F500" s="5"/>
      <c r="H500" s="28"/>
      <c r="I500" s="5"/>
      <c r="J500" s="5"/>
      <c r="M500" s="28"/>
      <c r="O500" s="25"/>
      <c r="P500" s="25"/>
      <c r="Q500" s="25"/>
      <c r="R500" s="10"/>
      <c r="S500" s="10"/>
      <c r="T500" s="14"/>
    </row>
    <row r="501">
      <c r="A501" s="37"/>
      <c r="B501" s="5"/>
      <c r="C501" s="5"/>
      <c r="D501" s="5"/>
      <c r="E501" s="9"/>
      <c r="F501" s="5"/>
      <c r="H501" s="28"/>
      <c r="I501" s="5"/>
      <c r="J501" s="5"/>
      <c r="M501" s="28"/>
      <c r="O501" s="25"/>
      <c r="P501" s="25"/>
      <c r="Q501" s="25"/>
      <c r="R501" s="10"/>
      <c r="S501" s="10"/>
      <c r="T501" s="14"/>
    </row>
    <row r="502">
      <c r="A502" s="37"/>
      <c r="B502" s="5"/>
      <c r="C502" s="5"/>
      <c r="D502" s="5"/>
      <c r="E502" s="9"/>
      <c r="F502" s="5"/>
      <c r="H502" s="28"/>
      <c r="I502" s="5"/>
      <c r="J502" s="5"/>
      <c r="M502" s="28"/>
      <c r="O502" s="25"/>
      <c r="P502" s="25"/>
      <c r="Q502" s="25"/>
      <c r="R502" s="10"/>
      <c r="S502" s="10"/>
      <c r="T502" s="14"/>
    </row>
    <row r="503">
      <c r="A503" s="37"/>
      <c r="B503" s="5"/>
      <c r="C503" s="5"/>
      <c r="D503" s="5"/>
      <c r="E503" s="9"/>
      <c r="F503" s="5"/>
      <c r="H503" s="28"/>
      <c r="I503" s="5"/>
      <c r="J503" s="5"/>
      <c r="M503" s="28"/>
      <c r="O503" s="25"/>
      <c r="P503" s="25"/>
      <c r="Q503" s="25"/>
      <c r="R503" s="10"/>
      <c r="S503" s="10"/>
      <c r="T503" s="14"/>
    </row>
    <row r="504">
      <c r="A504" s="37"/>
      <c r="B504" s="5"/>
      <c r="C504" s="5"/>
      <c r="D504" s="5"/>
      <c r="E504" s="9"/>
      <c r="F504" s="5"/>
      <c r="H504" s="28"/>
      <c r="I504" s="5"/>
      <c r="J504" s="5"/>
      <c r="M504" s="28"/>
      <c r="O504" s="25"/>
      <c r="P504" s="25"/>
      <c r="Q504" s="25"/>
      <c r="R504" s="10"/>
      <c r="S504" s="10"/>
      <c r="T504" s="14"/>
    </row>
    <row r="505">
      <c r="A505" s="37"/>
      <c r="B505" s="5"/>
      <c r="C505" s="5"/>
      <c r="D505" s="5"/>
      <c r="E505" s="9"/>
      <c r="F505" s="5"/>
      <c r="H505" s="28"/>
      <c r="I505" s="5"/>
      <c r="J505" s="5"/>
      <c r="M505" s="28"/>
      <c r="O505" s="25"/>
      <c r="P505" s="25"/>
      <c r="Q505" s="25"/>
      <c r="R505" s="10"/>
      <c r="S505" s="10"/>
      <c r="T505" s="14"/>
    </row>
    <row r="506">
      <c r="A506" s="37"/>
      <c r="B506" s="5"/>
      <c r="C506" s="5"/>
      <c r="D506" s="5"/>
      <c r="E506" s="9"/>
      <c r="F506" s="5"/>
      <c r="H506" s="28"/>
      <c r="I506" s="5"/>
      <c r="J506" s="5"/>
      <c r="M506" s="28"/>
      <c r="O506" s="25"/>
      <c r="P506" s="25"/>
      <c r="Q506" s="25"/>
      <c r="R506" s="10"/>
      <c r="S506" s="10"/>
      <c r="T506" s="14"/>
    </row>
    <row r="507">
      <c r="A507" s="37"/>
      <c r="B507" s="5"/>
      <c r="C507" s="5"/>
      <c r="D507" s="5"/>
      <c r="E507" s="9"/>
      <c r="F507" s="5"/>
      <c r="H507" s="28"/>
      <c r="I507" s="5"/>
      <c r="J507" s="5"/>
      <c r="M507" s="28"/>
      <c r="O507" s="25"/>
      <c r="P507" s="25"/>
      <c r="Q507" s="25"/>
      <c r="R507" s="10"/>
      <c r="S507" s="10"/>
      <c r="T507" s="14"/>
    </row>
    <row r="508">
      <c r="A508" s="37"/>
      <c r="B508" s="5"/>
      <c r="C508" s="5"/>
      <c r="D508" s="5"/>
      <c r="E508" s="9"/>
      <c r="F508" s="5"/>
      <c r="H508" s="28"/>
      <c r="I508" s="5"/>
      <c r="J508" s="5"/>
      <c r="M508" s="28"/>
      <c r="O508" s="25"/>
      <c r="P508" s="25"/>
      <c r="Q508" s="25"/>
      <c r="R508" s="10"/>
      <c r="S508" s="10"/>
      <c r="T508" s="14"/>
    </row>
    <row r="509">
      <c r="A509" s="37"/>
      <c r="B509" s="5"/>
      <c r="C509" s="5"/>
      <c r="D509" s="5"/>
      <c r="E509" s="9"/>
      <c r="F509" s="5"/>
      <c r="H509" s="28"/>
      <c r="I509" s="5"/>
      <c r="J509" s="5"/>
      <c r="M509" s="28"/>
      <c r="O509" s="25"/>
      <c r="P509" s="25"/>
      <c r="Q509" s="25"/>
      <c r="R509" s="10"/>
      <c r="S509" s="10"/>
      <c r="T509" s="14"/>
    </row>
    <row r="510">
      <c r="A510" s="37"/>
      <c r="B510" s="5"/>
      <c r="C510" s="5"/>
      <c r="D510" s="5"/>
      <c r="E510" s="9"/>
      <c r="F510" s="5"/>
      <c r="H510" s="28"/>
      <c r="I510" s="5"/>
      <c r="J510" s="5"/>
      <c r="M510" s="28"/>
      <c r="O510" s="25"/>
      <c r="P510" s="25"/>
      <c r="Q510" s="25"/>
      <c r="R510" s="10"/>
      <c r="S510" s="10"/>
      <c r="T510" s="14"/>
    </row>
    <row r="511">
      <c r="A511" s="37"/>
      <c r="B511" s="5"/>
      <c r="C511" s="5"/>
      <c r="D511" s="5"/>
      <c r="E511" s="9"/>
      <c r="F511" s="5"/>
      <c r="H511" s="28"/>
      <c r="I511" s="5"/>
      <c r="J511" s="5"/>
      <c r="M511" s="28"/>
      <c r="O511" s="25"/>
      <c r="P511" s="25"/>
      <c r="Q511" s="25"/>
      <c r="R511" s="10"/>
      <c r="S511" s="10"/>
      <c r="T511" s="14"/>
    </row>
    <row r="512">
      <c r="A512" s="37"/>
      <c r="B512" s="5"/>
      <c r="C512" s="5"/>
      <c r="D512" s="5"/>
      <c r="E512" s="9"/>
      <c r="F512" s="5"/>
      <c r="H512" s="28"/>
      <c r="I512" s="5"/>
      <c r="J512" s="5"/>
      <c r="M512" s="28"/>
      <c r="O512" s="25"/>
      <c r="P512" s="25"/>
      <c r="Q512" s="25"/>
      <c r="R512" s="10"/>
      <c r="S512" s="10"/>
      <c r="T512" s="14"/>
    </row>
    <row r="513">
      <c r="A513" s="37"/>
      <c r="B513" s="5"/>
      <c r="C513" s="5"/>
      <c r="D513" s="5"/>
      <c r="E513" s="9"/>
      <c r="F513" s="5"/>
      <c r="H513" s="28"/>
      <c r="I513" s="5"/>
      <c r="J513" s="5"/>
      <c r="M513" s="28"/>
      <c r="O513" s="25"/>
      <c r="P513" s="25"/>
      <c r="Q513" s="25"/>
      <c r="R513" s="10"/>
      <c r="S513" s="10"/>
      <c r="T513" s="14"/>
    </row>
    <row r="514">
      <c r="A514" s="37"/>
      <c r="B514" s="5"/>
      <c r="C514" s="5"/>
      <c r="D514" s="5"/>
      <c r="E514" s="9"/>
      <c r="F514" s="5"/>
      <c r="H514" s="28"/>
      <c r="I514" s="5"/>
      <c r="J514" s="5"/>
      <c r="M514" s="28"/>
      <c r="O514" s="25"/>
      <c r="P514" s="25"/>
      <c r="Q514" s="25"/>
      <c r="R514" s="10"/>
      <c r="S514" s="10"/>
      <c r="T514" s="14"/>
    </row>
    <row r="515">
      <c r="A515" s="37"/>
      <c r="B515" s="5"/>
      <c r="C515" s="5"/>
      <c r="D515" s="5"/>
      <c r="E515" s="9"/>
      <c r="F515" s="5"/>
      <c r="H515" s="28"/>
      <c r="I515" s="5"/>
      <c r="J515" s="5"/>
      <c r="M515" s="28"/>
      <c r="O515" s="25"/>
      <c r="P515" s="25"/>
      <c r="Q515" s="25"/>
      <c r="R515" s="10"/>
      <c r="S515" s="10"/>
      <c r="T515" s="14"/>
    </row>
    <row r="516">
      <c r="A516" s="37"/>
      <c r="B516" s="5"/>
      <c r="C516" s="5"/>
      <c r="D516" s="5"/>
      <c r="E516" s="9"/>
      <c r="F516" s="5"/>
      <c r="H516" s="28"/>
      <c r="I516" s="5"/>
      <c r="J516" s="5"/>
      <c r="M516" s="28"/>
      <c r="O516" s="25"/>
      <c r="P516" s="25"/>
      <c r="Q516" s="25"/>
      <c r="R516" s="10"/>
      <c r="S516" s="10"/>
      <c r="T516" s="14"/>
    </row>
    <row r="517">
      <c r="A517" s="37"/>
      <c r="B517" s="5"/>
      <c r="C517" s="5"/>
      <c r="D517" s="5"/>
      <c r="E517" s="9"/>
      <c r="F517" s="5"/>
      <c r="H517" s="28"/>
      <c r="I517" s="5"/>
      <c r="J517" s="5"/>
      <c r="M517" s="28"/>
      <c r="O517" s="25"/>
      <c r="P517" s="25"/>
      <c r="Q517" s="25"/>
      <c r="R517" s="10"/>
      <c r="S517" s="10"/>
      <c r="T517" s="14"/>
    </row>
    <row r="518">
      <c r="A518" s="37"/>
      <c r="B518" s="5"/>
      <c r="C518" s="5"/>
      <c r="D518" s="5"/>
      <c r="E518" s="9"/>
      <c r="F518" s="5"/>
      <c r="H518" s="28"/>
      <c r="I518" s="5"/>
      <c r="J518" s="5"/>
      <c r="M518" s="28"/>
      <c r="O518" s="25"/>
      <c r="P518" s="25"/>
      <c r="Q518" s="25"/>
      <c r="R518" s="10"/>
      <c r="S518" s="10"/>
      <c r="T518" s="14"/>
    </row>
    <row r="519">
      <c r="A519" s="37"/>
      <c r="B519" s="5"/>
      <c r="C519" s="5"/>
      <c r="D519" s="5"/>
      <c r="E519" s="9"/>
      <c r="F519" s="5"/>
      <c r="H519" s="28"/>
      <c r="I519" s="5"/>
      <c r="J519" s="5"/>
      <c r="M519" s="28"/>
      <c r="O519" s="25"/>
      <c r="P519" s="25"/>
      <c r="Q519" s="25"/>
      <c r="R519" s="10"/>
      <c r="S519" s="10"/>
      <c r="T519" s="14"/>
    </row>
    <row r="520">
      <c r="A520" s="37"/>
      <c r="B520" s="5"/>
      <c r="C520" s="5"/>
      <c r="D520" s="5"/>
      <c r="E520" s="9"/>
      <c r="F520" s="5"/>
      <c r="H520" s="28"/>
      <c r="I520" s="5"/>
      <c r="J520" s="5"/>
      <c r="M520" s="28"/>
      <c r="O520" s="25"/>
      <c r="P520" s="25"/>
      <c r="Q520" s="25"/>
      <c r="R520" s="10"/>
      <c r="S520" s="10"/>
      <c r="T520" s="14"/>
    </row>
    <row r="521">
      <c r="A521" s="37"/>
      <c r="B521" s="5"/>
      <c r="C521" s="5"/>
      <c r="D521" s="5"/>
      <c r="E521" s="9"/>
      <c r="F521" s="5"/>
      <c r="H521" s="28"/>
      <c r="I521" s="5"/>
      <c r="J521" s="5"/>
      <c r="M521" s="28"/>
      <c r="O521" s="25"/>
      <c r="P521" s="25"/>
      <c r="Q521" s="25"/>
      <c r="R521" s="10"/>
      <c r="S521" s="10"/>
      <c r="T521" s="14"/>
    </row>
    <row r="522">
      <c r="A522" s="37"/>
      <c r="B522" s="5"/>
      <c r="C522" s="5"/>
      <c r="D522" s="5"/>
      <c r="E522" s="9"/>
      <c r="F522" s="5"/>
      <c r="H522" s="28"/>
      <c r="I522" s="5"/>
      <c r="J522" s="5"/>
      <c r="M522" s="28"/>
      <c r="O522" s="25"/>
      <c r="P522" s="25"/>
      <c r="Q522" s="25"/>
      <c r="R522" s="10"/>
      <c r="S522" s="10"/>
      <c r="T522" s="14"/>
    </row>
    <row r="523">
      <c r="A523" s="37"/>
      <c r="B523" s="5"/>
      <c r="C523" s="5"/>
      <c r="D523" s="5"/>
      <c r="E523" s="9"/>
      <c r="F523" s="5"/>
      <c r="H523" s="28"/>
      <c r="I523" s="5"/>
      <c r="J523" s="5"/>
      <c r="M523" s="28"/>
      <c r="O523" s="25"/>
      <c r="P523" s="25"/>
      <c r="Q523" s="25"/>
      <c r="R523" s="10"/>
      <c r="S523" s="10"/>
      <c r="T523" s="14"/>
    </row>
    <row r="524">
      <c r="A524" s="37"/>
      <c r="B524" s="5"/>
      <c r="C524" s="5"/>
      <c r="D524" s="5"/>
      <c r="E524" s="9"/>
      <c r="F524" s="5"/>
      <c r="H524" s="28"/>
      <c r="I524" s="5"/>
      <c r="J524" s="5"/>
      <c r="M524" s="28"/>
      <c r="O524" s="25"/>
      <c r="P524" s="25"/>
      <c r="Q524" s="25"/>
      <c r="R524" s="10"/>
      <c r="S524" s="10"/>
      <c r="T524" s="14"/>
    </row>
    <row r="525">
      <c r="A525" s="37"/>
      <c r="B525" s="5"/>
      <c r="C525" s="5"/>
      <c r="D525" s="5"/>
      <c r="E525" s="9"/>
      <c r="F525" s="5"/>
      <c r="H525" s="28"/>
      <c r="I525" s="5"/>
      <c r="J525" s="5"/>
      <c r="M525" s="28"/>
      <c r="O525" s="25"/>
      <c r="P525" s="25"/>
      <c r="Q525" s="25"/>
      <c r="R525" s="10"/>
      <c r="S525" s="10"/>
      <c r="T525" s="14"/>
    </row>
    <row r="526">
      <c r="A526" s="37"/>
      <c r="B526" s="5"/>
      <c r="C526" s="5"/>
      <c r="D526" s="5"/>
      <c r="E526" s="9"/>
      <c r="F526" s="5"/>
      <c r="H526" s="28"/>
      <c r="I526" s="5"/>
      <c r="J526" s="5"/>
      <c r="M526" s="28"/>
      <c r="O526" s="25"/>
      <c r="P526" s="25"/>
      <c r="Q526" s="25"/>
      <c r="R526" s="10"/>
      <c r="S526" s="10"/>
      <c r="T526" s="14"/>
    </row>
    <row r="527">
      <c r="A527" s="37"/>
      <c r="B527" s="5"/>
      <c r="C527" s="5"/>
      <c r="D527" s="5"/>
      <c r="E527" s="9"/>
      <c r="F527" s="5"/>
      <c r="H527" s="28"/>
      <c r="I527" s="5"/>
      <c r="J527" s="5"/>
      <c r="M527" s="28"/>
      <c r="O527" s="25"/>
      <c r="P527" s="25"/>
      <c r="Q527" s="25"/>
      <c r="R527" s="10"/>
      <c r="S527" s="10"/>
      <c r="T527" s="14"/>
    </row>
    <row r="528">
      <c r="A528" s="37"/>
      <c r="B528" s="5"/>
      <c r="C528" s="5"/>
      <c r="D528" s="5"/>
      <c r="E528" s="9"/>
      <c r="F528" s="5"/>
      <c r="H528" s="28"/>
      <c r="I528" s="5"/>
      <c r="J528" s="5"/>
      <c r="M528" s="28"/>
      <c r="O528" s="25"/>
      <c r="P528" s="25"/>
      <c r="Q528" s="25"/>
      <c r="R528" s="10"/>
      <c r="S528" s="10"/>
      <c r="T528" s="14"/>
    </row>
    <row r="529">
      <c r="A529" s="37"/>
      <c r="B529" s="5"/>
      <c r="C529" s="5"/>
      <c r="D529" s="5"/>
      <c r="E529" s="9"/>
      <c r="F529" s="5"/>
      <c r="H529" s="28"/>
      <c r="I529" s="5"/>
      <c r="J529" s="5"/>
      <c r="M529" s="28"/>
      <c r="O529" s="25"/>
      <c r="P529" s="25"/>
      <c r="Q529" s="25"/>
      <c r="R529" s="10"/>
      <c r="S529" s="10"/>
      <c r="T529" s="14"/>
    </row>
    <row r="530">
      <c r="A530" s="37"/>
      <c r="B530" s="5"/>
      <c r="C530" s="5"/>
      <c r="D530" s="5"/>
      <c r="E530" s="9"/>
      <c r="F530" s="5"/>
      <c r="H530" s="28"/>
      <c r="I530" s="5"/>
      <c r="J530" s="5"/>
      <c r="M530" s="28"/>
      <c r="O530" s="25"/>
      <c r="P530" s="25"/>
      <c r="Q530" s="25"/>
      <c r="R530" s="10"/>
      <c r="S530" s="10"/>
      <c r="T530" s="14"/>
    </row>
    <row r="531">
      <c r="A531" s="37"/>
      <c r="B531" s="5"/>
      <c r="C531" s="5"/>
      <c r="D531" s="5"/>
      <c r="E531" s="9"/>
      <c r="F531" s="5"/>
      <c r="H531" s="28"/>
      <c r="I531" s="5"/>
      <c r="J531" s="5"/>
      <c r="M531" s="28"/>
      <c r="O531" s="25"/>
      <c r="P531" s="25"/>
      <c r="Q531" s="25"/>
      <c r="R531" s="10"/>
      <c r="S531" s="10"/>
      <c r="T531" s="14"/>
    </row>
    <row r="532">
      <c r="A532" s="37"/>
      <c r="B532" s="5"/>
      <c r="C532" s="5"/>
      <c r="D532" s="5"/>
      <c r="E532" s="9"/>
      <c r="F532" s="5"/>
      <c r="H532" s="28"/>
      <c r="I532" s="5"/>
      <c r="J532" s="5"/>
      <c r="M532" s="28"/>
      <c r="O532" s="25"/>
      <c r="P532" s="25"/>
      <c r="Q532" s="25"/>
      <c r="R532" s="10"/>
      <c r="S532" s="10"/>
      <c r="T532" s="14"/>
    </row>
    <row r="533">
      <c r="A533" s="37"/>
      <c r="B533" s="5"/>
      <c r="C533" s="5"/>
      <c r="D533" s="5"/>
      <c r="E533" s="9"/>
      <c r="F533" s="5"/>
      <c r="H533" s="28"/>
      <c r="I533" s="5"/>
      <c r="J533" s="5"/>
      <c r="M533" s="28"/>
      <c r="O533" s="25"/>
      <c r="P533" s="25"/>
      <c r="Q533" s="25"/>
      <c r="R533" s="10"/>
      <c r="S533" s="10"/>
      <c r="T533" s="14"/>
    </row>
    <row r="534">
      <c r="A534" s="37"/>
      <c r="B534" s="5"/>
      <c r="C534" s="5"/>
      <c r="D534" s="5"/>
      <c r="E534" s="9"/>
      <c r="F534" s="5"/>
      <c r="H534" s="28"/>
      <c r="I534" s="5"/>
      <c r="J534" s="5"/>
      <c r="M534" s="28"/>
      <c r="O534" s="25"/>
      <c r="P534" s="25"/>
      <c r="Q534" s="25"/>
      <c r="R534" s="10"/>
      <c r="S534" s="10"/>
      <c r="T534" s="14"/>
    </row>
    <row r="535">
      <c r="A535" s="37"/>
      <c r="B535" s="5"/>
      <c r="C535" s="5"/>
      <c r="D535" s="5"/>
      <c r="E535" s="9"/>
      <c r="F535" s="5"/>
      <c r="H535" s="28"/>
      <c r="I535" s="5"/>
      <c r="J535" s="5"/>
      <c r="M535" s="28"/>
      <c r="O535" s="25"/>
      <c r="P535" s="25"/>
      <c r="Q535" s="25"/>
      <c r="R535" s="10"/>
      <c r="S535" s="10"/>
      <c r="T535" s="14"/>
    </row>
    <row r="536">
      <c r="A536" s="37"/>
      <c r="B536" s="5"/>
      <c r="C536" s="5"/>
      <c r="D536" s="5"/>
      <c r="E536" s="9"/>
      <c r="F536" s="5"/>
      <c r="H536" s="28"/>
      <c r="I536" s="5"/>
      <c r="J536" s="5"/>
      <c r="M536" s="28"/>
      <c r="O536" s="25"/>
      <c r="P536" s="25"/>
      <c r="Q536" s="25"/>
      <c r="R536" s="10"/>
      <c r="S536" s="10"/>
      <c r="T536" s="14"/>
    </row>
    <row r="537">
      <c r="A537" s="37"/>
      <c r="B537" s="5"/>
      <c r="C537" s="5"/>
      <c r="D537" s="5"/>
      <c r="E537" s="9"/>
      <c r="F537" s="5"/>
      <c r="H537" s="28"/>
      <c r="I537" s="5"/>
      <c r="J537" s="5"/>
      <c r="M537" s="28"/>
      <c r="O537" s="25"/>
      <c r="P537" s="25"/>
      <c r="Q537" s="25"/>
      <c r="R537" s="10"/>
      <c r="S537" s="10"/>
      <c r="T537" s="14"/>
    </row>
    <row r="538">
      <c r="A538" s="37"/>
      <c r="B538" s="5"/>
      <c r="C538" s="5"/>
      <c r="D538" s="5"/>
      <c r="E538" s="9"/>
      <c r="F538" s="5"/>
      <c r="H538" s="28"/>
      <c r="I538" s="5"/>
      <c r="J538" s="5"/>
      <c r="M538" s="28"/>
      <c r="O538" s="25"/>
      <c r="P538" s="25"/>
      <c r="Q538" s="25"/>
      <c r="R538" s="10"/>
      <c r="S538" s="10"/>
      <c r="T538" s="14"/>
    </row>
    <row r="539">
      <c r="A539" s="37"/>
      <c r="B539" s="5"/>
      <c r="C539" s="5"/>
      <c r="D539" s="5"/>
      <c r="E539" s="9"/>
      <c r="F539" s="5"/>
      <c r="H539" s="28"/>
      <c r="I539" s="5"/>
      <c r="J539" s="5"/>
      <c r="M539" s="28"/>
      <c r="O539" s="25"/>
      <c r="P539" s="25"/>
      <c r="Q539" s="25"/>
      <c r="R539" s="10"/>
      <c r="S539" s="10"/>
      <c r="T539" s="14"/>
    </row>
    <row r="540">
      <c r="A540" s="37"/>
      <c r="B540" s="5"/>
      <c r="C540" s="5"/>
      <c r="D540" s="5"/>
      <c r="E540" s="9"/>
      <c r="F540" s="5"/>
      <c r="H540" s="28"/>
      <c r="I540" s="5"/>
      <c r="J540" s="5"/>
      <c r="M540" s="28"/>
      <c r="O540" s="25"/>
      <c r="P540" s="25"/>
      <c r="Q540" s="25"/>
      <c r="R540" s="10"/>
      <c r="S540" s="10"/>
      <c r="T540" s="14"/>
    </row>
    <row r="541">
      <c r="A541" s="37"/>
      <c r="B541" s="5"/>
      <c r="C541" s="5"/>
      <c r="D541" s="5"/>
      <c r="E541" s="9"/>
      <c r="F541" s="5"/>
      <c r="H541" s="28"/>
      <c r="I541" s="5"/>
      <c r="J541" s="5"/>
      <c r="M541" s="28"/>
      <c r="O541" s="25"/>
      <c r="P541" s="25"/>
      <c r="Q541" s="25"/>
      <c r="R541" s="10"/>
      <c r="S541" s="10"/>
      <c r="T541" s="14"/>
    </row>
    <row r="542">
      <c r="A542" s="37"/>
      <c r="B542" s="5"/>
      <c r="C542" s="5"/>
      <c r="D542" s="5"/>
      <c r="E542" s="9"/>
      <c r="F542" s="5"/>
      <c r="H542" s="28"/>
      <c r="I542" s="5"/>
      <c r="J542" s="5"/>
      <c r="M542" s="28"/>
      <c r="O542" s="25"/>
      <c r="P542" s="25"/>
      <c r="Q542" s="25"/>
      <c r="R542" s="10"/>
      <c r="S542" s="10"/>
      <c r="T542" s="14"/>
    </row>
    <row r="543">
      <c r="A543" s="37"/>
      <c r="B543" s="5"/>
      <c r="C543" s="5"/>
      <c r="D543" s="5"/>
      <c r="E543" s="9"/>
      <c r="F543" s="5"/>
      <c r="H543" s="28"/>
      <c r="I543" s="5"/>
      <c r="J543" s="5"/>
      <c r="M543" s="28"/>
      <c r="O543" s="25"/>
      <c r="P543" s="25"/>
      <c r="Q543" s="25"/>
      <c r="R543" s="10"/>
      <c r="S543" s="10"/>
      <c r="T543" s="14"/>
    </row>
    <row r="544">
      <c r="A544" s="37"/>
      <c r="B544" s="5"/>
      <c r="C544" s="5"/>
      <c r="D544" s="5"/>
      <c r="E544" s="9"/>
      <c r="F544" s="5"/>
      <c r="H544" s="28"/>
      <c r="I544" s="5"/>
      <c r="J544" s="5"/>
      <c r="M544" s="28"/>
      <c r="O544" s="25"/>
      <c r="P544" s="25"/>
      <c r="Q544" s="25"/>
      <c r="R544" s="10"/>
      <c r="S544" s="10"/>
      <c r="T544" s="14"/>
    </row>
    <row r="545">
      <c r="A545" s="37"/>
      <c r="B545" s="5"/>
      <c r="C545" s="5"/>
      <c r="D545" s="5"/>
      <c r="E545" s="9"/>
      <c r="F545" s="5"/>
      <c r="H545" s="28"/>
      <c r="I545" s="5"/>
      <c r="J545" s="5"/>
      <c r="M545" s="28"/>
      <c r="O545" s="25"/>
      <c r="P545" s="25"/>
      <c r="Q545" s="25"/>
      <c r="R545" s="10"/>
      <c r="S545" s="10"/>
      <c r="T545" s="14"/>
    </row>
    <row r="546">
      <c r="A546" s="37"/>
      <c r="B546" s="5"/>
      <c r="C546" s="5"/>
      <c r="D546" s="5"/>
      <c r="E546" s="9"/>
      <c r="F546" s="5"/>
      <c r="H546" s="28"/>
      <c r="I546" s="5"/>
      <c r="J546" s="5"/>
      <c r="M546" s="28"/>
      <c r="O546" s="25"/>
      <c r="P546" s="25"/>
      <c r="Q546" s="25"/>
      <c r="R546" s="10"/>
      <c r="S546" s="10"/>
      <c r="T546" s="14"/>
    </row>
    <row r="547">
      <c r="A547" s="37"/>
      <c r="B547" s="5"/>
      <c r="C547" s="5"/>
      <c r="D547" s="5"/>
      <c r="E547" s="9"/>
      <c r="F547" s="5"/>
      <c r="H547" s="28"/>
      <c r="I547" s="5"/>
      <c r="J547" s="5"/>
      <c r="M547" s="28"/>
      <c r="O547" s="25"/>
      <c r="P547" s="25"/>
      <c r="Q547" s="25"/>
      <c r="R547" s="10"/>
      <c r="S547" s="10"/>
      <c r="T547" s="14"/>
    </row>
    <row r="548">
      <c r="A548" s="37"/>
      <c r="B548" s="5"/>
      <c r="C548" s="5"/>
      <c r="D548" s="5"/>
      <c r="E548" s="9"/>
      <c r="F548" s="5"/>
      <c r="H548" s="28"/>
      <c r="I548" s="5"/>
      <c r="J548" s="5"/>
      <c r="M548" s="28"/>
      <c r="O548" s="25"/>
      <c r="P548" s="25"/>
      <c r="Q548" s="25"/>
      <c r="R548" s="10"/>
      <c r="S548" s="10"/>
      <c r="T548" s="14"/>
    </row>
    <row r="549">
      <c r="A549" s="37"/>
      <c r="B549" s="5"/>
      <c r="C549" s="5"/>
      <c r="D549" s="5"/>
      <c r="E549" s="9"/>
      <c r="F549" s="5"/>
      <c r="H549" s="28"/>
      <c r="I549" s="5"/>
      <c r="J549" s="5"/>
      <c r="M549" s="28"/>
      <c r="O549" s="25"/>
      <c r="P549" s="25"/>
      <c r="Q549" s="25"/>
      <c r="R549" s="10"/>
      <c r="S549" s="10"/>
      <c r="T549" s="14"/>
    </row>
    <row r="550">
      <c r="A550" s="37"/>
      <c r="B550" s="5"/>
      <c r="C550" s="5"/>
      <c r="D550" s="5"/>
      <c r="E550" s="9"/>
      <c r="F550" s="5"/>
      <c r="H550" s="28"/>
      <c r="I550" s="5"/>
      <c r="J550" s="5"/>
      <c r="M550" s="28"/>
      <c r="O550" s="25"/>
      <c r="P550" s="25"/>
      <c r="Q550" s="25"/>
      <c r="R550" s="10"/>
      <c r="S550" s="10"/>
      <c r="T550" s="14"/>
    </row>
    <row r="551">
      <c r="A551" s="37"/>
      <c r="B551" s="5"/>
      <c r="C551" s="5"/>
      <c r="D551" s="5"/>
      <c r="E551" s="9"/>
      <c r="F551" s="5"/>
      <c r="H551" s="28"/>
      <c r="I551" s="5"/>
      <c r="J551" s="5"/>
      <c r="M551" s="28"/>
      <c r="O551" s="25"/>
      <c r="P551" s="25"/>
      <c r="Q551" s="25"/>
      <c r="R551" s="10"/>
      <c r="S551" s="10"/>
      <c r="T551" s="14"/>
    </row>
    <row r="552">
      <c r="A552" s="37"/>
      <c r="B552" s="5"/>
      <c r="C552" s="5"/>
      <c r="D552" s="5"/>
      <c r="E552" s="9"/>
      <c r="F552" s="5"/>
      <c r="H552" s="28"/>
      <c r="I552" s="5"/>
      <c r="J552" s="5"/>
      <c r="M552" s="28"/>
      <c r="O552" s="25"/>
      <c r="P552" s="25"/>
      <c r="Q552" s="25"/>
      <c r="R552" s="10"/>
      <c r="S552" s="10"/>
      <c r="T552" s="14"/>
    </row>
    <row r="553">
      <c r="A553" s="37"/>
      <c r="B553" s="5"/>
      <c r="C553" s="5"/>
      <c r="D553" s="5"/>
      <c r="E553" s="9"/>
      <c r="F553" s="5"/>
      <c r="H553" s="28"/>
      <c r="I553" s="5"/>
      <c r="J553" s="5"/>
      <c r="M553" s="28"/>
      <c r="O553" s="25"/>
      <c r="P553" s="25"/>
      <c r="Q553" s="25"/>
      <c r="R553" s="10"/>
      <c r="S553" s="10"/>
      <c r="T553" s="14"/>
    </row>
    <row r="554">
      <c r="A554" s="37"/>
      <c r="B554" s="5"/>
      <c r="C554" s="5"/>
      <c r="D554" s="5"/>
      <c r="E554" s="9"/>
      <c r="F554" s="5"/>
      <c r="H554" s="28"/>
      <c r="I554" s="5"/>
      <c r="J554" s="5"/>
      <c r="M554" s="28"/>
      <c r="O554" s="25"/>
      <c r="P554" s="25"/>
      <c r="Q554" s="25"/>
      <c r="R554" s="10"/>
      <c r="S554" s="10"/>
      <c r="T554" s="14"/>
    </row>
    <row r="555">
      <c r="A555" s="37"/>
      <c r="B555" s="5"/>
      <c r="C555" s="5"/>
      <c r="D555" s="5"/>
      <c r="E555" s="9"/>
      <c r="F555" s="5"/>
      <c r="H555" s="28"/>
      <c r="I555" s="5"/>
      <c r="J555" s="5"/>
      <c r="M555" s="28"/>
      <c r="O555" s="25"/>
      <c r="P555" s="25"/>
      <c r="Q555" s="25"/>
      <c r="R555" s="10"/>
      <c r="S555" s="10"/>
      <c r="T555" s="14"/>
    </row>
    <row r="556">
      <c r="A556" s="37"/>
      <c r="B556" s="5"/>
      <c r="C556" s="5"/>
      <c r="D556" s="5"/>
      <c r="E556" s="9"/>
      <c r="F556" s="5"/>
      <c r="H556" s="28"/>
      <c r="I556" s="5"/>
      <c r="J556" s="5"/>
      <c r="M556" s="28"/>
      <c r="O556" s="25"/>
      <c r="P556" s="25"/>
      <c r="Q556" s="25"/>
      <c r="R556" s="10"/>
      <c r="S556" s="10"/>
      <c r="T556" s="14"/>
    </row>
    <row r="557">
      <c r="A557" s="37"/>
      <c r="B557" s="5"/>
      <c r="C557" s="5"/>
      <c r="D557" s="5"/>
      <c r="E557" s="9"/>
      <c r="F557" s="5"/>
      <c r="H557" s="28"/>
      <c r="I557" s="5"/>
      <c r="J557" s="5"/>
      <c r="M557" s="28"/>
      <c r="O557" s="25"/>
      <c r="P557" s="25"/>
      <c r="Q557" s="25"/>
      <c r="R557" s="10"/>
      <c r="S557" s="10"/>
      <c r="T557" s="14"/>
    </row>
    <row r="558">
      <c r="A558" s="37"/>
      <c r="B558" s="5"/>
      <c r="C558" s="5"/>
      <c r="D558" s="5"/>
      <c r="E558" s="9"/>
      <c r="F558" s="5"/>
      <c r="H558" s="28"/>
      <c r="I558" s="5"/>
      <c r="J558" s="5"/>
      <c r="M558" s="28"/>
      <c r="O558" s="25"/>
      <c r="P558" s="25"/>
      <c r="Q558" s="25"/>
      <c r="R558" s="10"/>
      <c r="S558" s="10"/>
      <c r="T558" s="14"/>
    </row>
    <row r="559">
      <c r="A559" s="37"/>
      <c r="B559" s="5"/>
      <c r="C559" s="5"/>
      <c r="D559" s="5"/>
      <c r="E559" s="9"/>
      <c r="F559" s="5"/>
      <c r="H559" s="28"/>
      <c r="I559" s="5"/>
      <c r="J559" s="5"/>
      <c r="M559" s="28"/>
      <c r="O559" s="25"/>
      <c r="P559" s="25"/>
      <c r="Q559" s="25"/>
      <c r="R559" s="10"/>
      <c r="S559" s="10"/>
      <c r="T559" s="14"/>
    </row>
    <row r="560">
      <c r="A560" s="37"/>
      <c r="B560" s="5"/>
      <c r="C560" s="5"/>
      <c r="D560" s="5"/>
      <c r="E560" s="9"/>
      <c r="F560" s="5"/>
      <c r="H560" s="28"/>
      <c r="I560" s="5"/>
      <c r="J560" s="5"/>
      <c r="M560" s="28"/>
      <c r="O560" s="25"/>
      <c r="P560" s="25"/>
      <c r="Q560" s="25"/>
      <c r="R560" s="10"/>
      <c r="S560" s="10"/>
      <c r="T560" s="14"/>
    </row>
    <row r="561">
      <c r="A561" s="37"/>
      <c r="B561" s="5"/>
      <c r="C561" s="5"/>
      <c r="D561" s="5"/>
      <c r="E561" s="9"/>
      <c r="F561" s="5"/>
      <c r="H561" s="28"/>
      <c r="I561" s="5"/>
      <c r="J561" s="5"/>
      <c r="M561" s="28"/>
      <c r="O561" s="25"/>
      <c r="P561" s="25"/>
      <c r="Q561" s="25"/>
      <c r="R561" s="10"/>
      <c r="S561" s="10"/>
      <c r="T561" s="14"/>
    </row>
    <row r="562">
      <c r="A562" s="37"/>
      <c r="B562" s="5"/>
      <c r="C562" s="5"/>
      <c r="D562" s="5"/>
      <c r="E562" s="9"/>
      <c r="F562" s="5"/>
      <c r="H562" s="28"/>
      <c r="I562" s="5"/>
      <c r="J562" s="5"/>
      <c r="M562" s="28"/>
      <c r="O562" s="25"/>
      <c r="P562" s="25"/>
      <c r="Q562" s="25"/>
      <c r="R562" s="10"/>
      <c r="S562" s="10"/>
      <c r="T562" s="14"/>
    </row>
    <row r="563">
      <c r="A563" s="37"/>
      <c r="B563" s="5"/>
      <c r="C563" s="5"/>
      <c r="D563" s="5"/>
      <c r="E563" s="9"/>
      <c r="F563" s="5"/>
      <c r="H563" s="28"/>
      <c r="I563" s="5"/>
      <c r="J563" s="5"/>
      <c r="M563" s="28"/>
      <c r="O563" s="25"/>
      <c r="P563" s="25"/>
      <c r="Q563" s="25"/>
      <c r="R563" s="10"/>
      <c r="S563" s="10"/>
      <c r="T563" s="14"/>
    </row>
    <row r="564">
      <c r="A564" s="37"/>
      <c r="B564" s="5"/>
      <c r="C564" s="5"/>
      <c r="D564" s="5"/>
      <c r="E564" s="9"/>
      <c r="F564" s="5"/>
      <c r="H564" s="28"/>
      <c r="I564" s="5"/>
      <c r="J564" s="5"/>
      <c r="M564" s="28"/>
      <c r="O564" s="25"/>
      <c r="P564" s="25"/>
      <c r="Q564" s="25"/>
      <c r="R564" s="10"/>
      <c r="S564" s="10"/>
      <c r="T564" s="14"/>
    </row>
    <row r="565">
      <c r="A565" s="37"/>
      <c r="B565" s="5"/>
      <c r="C565" s="5"/>
      <c r="D565" s="5"/>
      <c r="E565" s="9"/>
      <c r="F565" s="5"/>
      <c r="H565" s="28"/>
      <c r="I565" s="5"/>
      <c r="J565" s="5"/>
      <c r="M565" s="28"/>
      <c r="O565" s="25"/>
      <c r="P565" s="25"/>
      <c r="Q565" s="25"/>
      <c r="R565" s="10"/>
      <c r="S565" s="10"/>
      <c r="T565" s="14"/>
    </row>
    <row r="566">
      <c r="A566" s="37"/>
      <c r="B566" s="5"/>
      <c r="C566" s="5"/>
      <c r="D566" s="5"/>
      <c r="E566" s="9"/>
      <c r="F566" s="5"/>
      <c r="H566" s="28"/>
      <c r="I566" s="5"/>
      <c r="J566" s="5"/>
      <c r="M566" s="28"/>
      <c r="O566" s="25"/>
      <c r="P566" s="25"/>
      <c r="Q566" s="25"/>
      <c r="R566" s="10"/>
      <c r="S566" s="10"/>
      <c r="T566" s="14"/>
    </row>
    <row r="567">
      <c r="A567" s="37"/>
      <c r="B567" s="5"/>
      <c r="C567" s="5"/>
      <c r="D567" s="5"/>
      <c r="E567" s="9"/>
      <c r="F567" s="5"/>
      <c r="H567" s="28"/>
      <c r="I567" s="5"/>
      <c r="J567" s="5"/>
      <c r="M567" s="28"/>
      <c r="O567" s="25"/>
      <c r="P567" s="25"/>
      <c r="Q567" s="25"/>
      <c r="R567" s="10"/>
      <c r="S567" s="10"/>
      <c r="T567" s="14"/>
    </row>
    <row r="568">
      <c r="A568" s="37"/>
      <c r="B568" s="5"/>
      <c r="C568" s="5"/>
      <c r="D568" s="5"/>
      <c r="E568" s="9"/>
      <c r="F568" s="5"/>
      <c r="H568" s="28"/>
      <c r="I568" s="5"/>
      <c r="J568" s="5"/>
      <c r="M568" s="28"/>
      <c r="O568" s="25"/>
      <c r="P568" s="25"/>
      <c r="Q568" s="25"/>
      <c r="R568" s="10"/>
      <c r="S568" s="10"/>
      <c r="T568" s="14"/>
    </row>
    <row r="569">
      <c r="A569" s="37"/>
      <c r="B569" s="5"/>
      <c r="C569" s="5"/>
      <c r="D569" s="5"/>
      <c r="E569" s="9"/>
      <c r="F569" s="5"/>
      <c r="H569" s="28"/>
      <c r="I569" s="5"/>
      <c r="J569" s="5"/>
      <c r="M569" s="28"/>
      <c r="O569" s="25"/>
      <c r="P569" s="25"/>
      <c r="Q569" s="25"/>
      <c r="R569" s="10"/>
      <c r="S569" s="10"/>
      <c r="T569" s="14"/>
    </row>
    <row r="570">
      <c r="A570" s="37"/>
      <c r="B570" s="5"/>
      <c r="C570" s="5"/>
      <c r="D570" s="5"/>
      <c r="E570" s="9"/>
      <c r="F570" s="5"/>
      <c r="H570" s="28"/>
      <c r="I570" s="5"/>
      <c r="J570" s="5"/>
      <c r="M570" s="28"/>
      <c r="O570" s="25"/>
      <c r="P570" s="25"/>
      <c r="Q570" s="25"/>
      <c r="R570" s="10"/>
      <c r="S570" s="10"/>
      <c r="T570" s="14"/>
    </row>
    <row r="571">
      <c r="A571" s="37"/>
      <c r="B571" s="5"/>
      <c r="C571" s="5"/>
      <c r="D571" s="5"/>
      <c r="E571" s="9"/>
      <c r="F571" s="5"/>
      <c r="H571" s="28"/>
      <c r="I571" s="5"/>
      <c r="J571" s="5"/>
      <c r="M571" s="28"/>
      <c r="O571" s="25"/>
      <c r="P571" s="25"/>
      <c r="Q571" s="25"/>
      <c r="R571" s="10"/>
      <c r="S571" s="10"/>
      <c r="T571" s="14"/>
    </row>
    <row r="572">
      <c r="A572" s="37"/>
      <c r="B572" s="5"/>
      <c r="C572" s="5"/>
      <c r="D572" s="5"/>
      <c r="E572" s="9"/>
      <c r="F572" s="5"/>
      <c r="H572" s="28"/>
      <c r="I572" s="5"/>
      <c r="J572" s="5"/>
      <c r="M572" s="28"/>
      <c r="O572" s="25"/>
      <c r="P572" s="25"/>
      <c r="Q572" s="25"/>
      <c r="R572" s="10"/>
      <c r="S572" s="10"/>
      <c r="T572" s="14"/>
    </row>
    <row r="573">
      <c r="A573" s="37"/>
      <c r="B573" s="5"/>
      <c r="C573" s="5"/>
      <c r="D573" s="5"/>
      <c r="E573" s="9"/>
      <c r="F573" s="5"/>
      <c r="H573" s="28"/>
      <c r="I573" s="5"/>
      <c r="J573" s="5"/>
      <c r="M573" s="28"/>
      <c r="O573" s="25"/>
      <c r="P573" s="25"/>
      <c r="Q573" s="25"/>
      <c r="R573" s="10"/>
      <c r="S573" s="10"/>
      <c r="T573" s="14"/>
    </row>
    <row r="574">
      <c r="A574" s="37"/>
      <c r="B574" s="5"/>
      <c r="C574" s="5"/>
      <c r="D574" s="5"/>
      <c r="E574" s="9"/>
      <c r="F574" s="5"/>
      <c r="H574" s="28"/>
      <c r="I574" s="5"/>
      <c r="J574" s="5"/>
      <c r="M574" s="28"/>
      <c r="O574" s="25"/>
      <c r="P574" s="25"/>
      <c r="Q574" s="25"/>
      <c r="R574" s="10"/>
      <c r="S574" s="10"/>
      <c r="T574" s="14"/>
    </row>
    <row r="575">
      <c r="A575" s="37"/>
      <c r="B575" s="5"/>
      <c r="C575" s="5"/>
      <c r="D575" s="5"/>
      <c r="E575" s="9"/>
      <c r="F575" s="5"/>
      <c r="H575" s="28"/>
      <c r="I575" s="5"/>
      <c r="J575" s="5"/>
      <c r="M575" s="28"/>
      <c r="O575" s="25"/>
      <c r="P575" s="25"/>
      <c r="Q575" s="25"/>
      <c r="R575" s="10"/>
      <c r="S575" s="10"/>
      <c r="T575" s="14"/>
    </row>
    <row r="576">
      <c r="A576" s="37"/>
      <c r="B576" s="5"/>
      <c r="C576" s="5"/>
      <c r="D576" s="5"/>
      <c r="E576" s="9"/>
      <c r="F576" s="5"/>
      <c r="H576" s="28"/>
      <c r="I576" s="5"/>
      <c r="J576" s="5"/>
      <c r="M576" s="28"/>
      <c r="O576" s="25"/>
      <c r="P576" s="25"/>
      <c r="Q576" s="25"/>
      <c r="R576" s="10"/>
      <c r="S576" s="10"/>
      <c r="T576" s="14"/>
    </row>
    <row r="577">
      <c r="A577" s="37"/>
      <c r="B577" s="5"/>
      <c r="C577" s="5"/>
      <c r="D577" s="5"/>
      <c r="E577" s="9"/>
      <c r="F577" s="5"/>
      <c r="H577" s="28"/>
      <c r="I577" s="5"/>
      <c r="J577" s="5"/>
      <c r="M577" s="28"/>
      <c r="O577" s="25"/>
      <c r="P577" s="25"/>
      <c r="Q577" s="25"/>
      <c r="R577" s="10"/>
      <c r="S577" s="10"/>
      <c r="T577" s="14"/>
    </row>
    <row r="578">
      <c r="A578" s="37"/>
      <c r="B578" s="5"/>
      <c r="C578" s="5"/>
      <c r="D578" s="5"/>
      <c r="E578" s="9"/>
      <c r="F578" s="5"/>
      <c r="H578" s="28"/>
      <c r="I578" s="5"/>
      <c r="J578" s="5"/>
      <c r="M578" s="28"/>
      <c r="O578" s="25"/>
      <c r="P578" s="25"/>
      <c r="Q578" s="25"/>
      <c r="R578" s="10"/>
      <c r="S578" s="10"/>
      <c r="T578" s="14"/>
    </row>
    <row r="579">
      <c r="A579" s="37"/>
      <c r="B579" s="5"/>
      <c r="C579" s="5"/>
      <c r="D579" s="5"/>
      <c r="E579" s="9"/>
      <c r="F579" s="5"/>
      <c r="H579" s="28"/>
      <c r="I579" s="5"/>
      <c r="J579" s="5"/>
      <c r="M579" s="28"/>
      <c r="O579" s="25"/>
      <c r="P579" s="25"/>
      <c r="Q579" s="25"/>
      <c r="R579" s="10"/>
      <c r="S579" s="10"/>
      <c r="T579" s="14"/>
    </row>
    <row r="580">
      <c r="A580" s="37"/>
      <c r="B580" s="5"/>
      <c r="C580" s="5"/>
      <c r="D580" s="5"/>
      <c r="E580" s="9"/>
      <c r="F580" s="5"/>
      <c r="H580" s="28"/>
      <c r="I580" s="5"/>
      <c r="J580" s="5"/>
      <c r="M580" s="28"/>
      <c r="O580" s="25"/>
      <c r="P580" s="25"/>
      <c r="Q580" s="25"/>
      <c r="R580" s="10"/>
      <c r="S580" s="10"/>
      <c r="T580" s="14"/>
    </row>
    <row r="581">
      <c r="A581" s="37"/>
      <c r="B581" s="5"/>
      <c r="C581" s="5"/>
      <c r="D581" s="5"/>
      <c r="E581" s="9"/>
      <c r="F581" s="5"/>
      <c r="H581" s="28"/>
      <c r="I581" s="5"/>
      <c r="J581" s="5"/>
      <c r="M581" s="28"/>
      <c r="O581" s="25"/>
      <c r="P581" s="25"/>
      <c r="Q581" s="25"/>
      <c r="R581" s="10"/>
      <c r="S581" s="10"/>
      <c r="T581" s="14"/>
    </row>
    <row r="582">
      <c r="A582" s="37"/>
      <c r="B582" s="5"/>
      <c r="C582" s="5"/>
      <c r="D582" s="5"/>
      <c r="E582" s="9"/>
      <c r="F582" s="5"/>
      <c r="H582" s="28"/>
      <c r="I582" s="5"/>
      <c r="J582" s="5"/>
      <c r="M582" s="28"/>
      <c r="O582" s="25"/>
      <c r="P582" s="25"/>
      <c r="Q582" s="25"/>
      <c r="R582" s="10"/>
      <c r="S582" s="10"/>
      <c r="T582" s="14"/>
    </row>
    <row r="583">
      <c r="A583" s="37"/>
      <c r="B583" s="5"/>
      <c r="C583" s="5"/>
      <c r="D583" s="5"/>
      <c r="E583" s="9"/>
      <c r="F583" s="5"/>
      <c r="H583" s="28"/>
      <c r="I583" s="5"/>
      <c r="J583" s="5"/>
      <c r="M583" s="28"/>
      <c r="O583" s="25"/>
      <c r="P583" s="25"/>
      <c r="Q583" s="25"/>
      <c r="R583" s="10"/>
      <c r="S583" s="10"/>
      <c r="T583" s="14"/>
    </row>
    <row r="584">
      <c r="A584" s="37"/>
      <c r="B584" s="5"/>
      <c r="C584" s="5"/>
      <c r="D584" s="5"/>
      <c r="E584" s="9"/>
      <c r="F584" s="5"/>
      <c r="H584" s="28"/>
      <c r="I584" s="5"/>
      <c r="J584" s="5"/>
      <c r="M584" s="28"/>
      <c r="O584" s="25"/>
      <c r="P584" s="25"/>
      <c r="Q584" s="25"/>
      <c r="R584" s="10"/>
      <c r="S584" s="10"/>
      <c r="T584" s="14"/>
    </row>
    <row r="585">
      <c r="A585" s="37"/>
      <c r="B585" s="5"/>
      <c r="C585" s="5"/>
      <c r="D585" s="5"/>
      <c r="E585" s="9"/>
      <c r="F585" s="5"/>
      <c r="H585" s="28"/>
      <c r="I585" s="5"/>
      <c r="J585" s="5"/>
      <c r="M585" s="28"/>
      <c r="O585" s="25"/>
      <c r="P585" s="25"/>
      <c r="Q585" s="25"/>
      <c r="R585" s="10"/>
      <c r="S585" s="10"/>
      <c r="T585" s="14"/>
    </row>
    <row r="586">
      <c r="A586" s="37"/>
      <c r="B586" s="5"/>
      <c r="C586" s="5"/>
      <c r="D586" s="5"/>
      <c r="E586" s="9"/>
      <c r="F586" s="5"/>
      <c r="H586" s="28"/>
      <c r="I586" s="5"/>
      <c r="J586" s="5"/>
      <c r="M586" s="28"/>
      <c r="O586" s="25"/>
      <c r="P586" s="25"/>
      <c r="Q586" s="25"/>
      <c r="R586" s="10"/>
      <c r="S586" s="10"/>
      <c r="T586" s="14"/>
    </row>
    <row r="587">
      <c r="A587" s="37"/>
      <c r="B587" s="5"/>
      <c r="C587" s="5"/>
      <c r="D587" s="5"/>
      <c r="E587" s="9"/>
      <c r="F587" s="5"/>
      <c r="H587" s="28"/>
      <c r="I587" s="5"/>
      <c r="J587" s="5"/>
      <c r="M587" s="28"/>
      <c r="O587" s="25"/>
      <c r="P587" s="25"/>
      <c r="Q587" s="25"/>
      <c r="R587" s="10"/>
      <c r="S587" s="10"/>
      <c r="T587" s="14"/>
    </row>
    <row r="588">
      <c r="A588" s="37"/>
      <c r="B588" s="5"/>
      <c r="C588" s="5"/>
      <c r="D588" s="5"/>
      <c r="E588" s="9"/>
      <c r="F588" s="5"/>
      <c r="H588" s="28"/>
      <c r="I588" s="5"/>
      <c r="J588" s="5"/>
      <c r="M588" s="28"/>
      <c r="O588" s="25"/>
      <c r="P588" s="25"/>
      <c r="Q588" s="25"/>
      <c r="R588" s="10"/>
      <c r="S588" s="10"/>
      <c r="T588" s="14"/>
    </row>
    <row r="589">
      <c r="A589" s="37"/>
      <c r="B589" s="5"/>
      <c r="C589" s="5"/>
      <c r="D589" s="5"/>
      <c r="E589" s="9"/>
      <c r="F589" s="5"/>
      <c r="H589" s="28"/>
      <c r="I589" s="5"/>
      <c r="J589" s="5"/>
      <c r="M589" s="28"/>
      <c r="O589" s="25"/>
      <c r="P589" s="25"/>
      <c r="Q589" s="25"/>
      <c r="R589" s="10"/>
      <c r="S589" s="10"/>
      <c r="T589" s="14"/>
    </row>
    <row r="590">
      <c r="A590" s="37"/>
      <c r="B590" s="5"/>
      <c r="C590" s="5"/>
      <c r="D590" s="5"/>
      <c r="E590" s="9"/>
      <c r="F590" s="5"/>
      <c r="H590" s="28"/>
      <c r="I590" s="5"/>
      <c r="J590" s="5"/>
      <c r="M590" s="28"/>
      <c r="O590" s="25"/>
      <c r="P590" s="25"/>
      <c r="Q590" s="25"/>
      <c r="R590" s="10"/>
      <c r="S590" s="10"/>
      <c r="T590" s="14"/>
    </row>
    <row r="591">
      <c r="A591" s="37"/>
      <c r="B591" s="5"/>
      <c r="C591" s="5"/>
      <c r="D591" s="5"/>
      <c r="E591" s="9"/>
      <c r="F591" s="5"/>
      <c r="H591" s="28"/>
      <c r="I591" s="5"/>
      <c r="J591" s="5"/>
      <c r="M591" s="28"/>
      <c r="O591" s="25"/>
      <c r="P591" s="25"/>
      <c r="Q591" s="25"/>
      <c r="R591" s="10"/>
      <c r="S591" s="10"/>
      <c r="T591" s="14"/>
    </row>
    <row r="592">
      <c r="A592" s="37"/>
      <c r="B592" s="5"/>
      <c r="C592" s="5"/>
      <c r="D592" s="5"/>
      <c r="E592" s="9"/>
      <c r="F592" s="5"/>
      <c r="H592" s="28"/>
      <c r="I592" s="5"/>
      <c r="J592" s="5"/>
      <c r="M592" s="28"/>
      <c r="O592" s="25"/>
      <c r="P592" s="25"/>
      <c r="Q592" s="25"/>
      <c r="R592" s="10"/>
      <c r="S592" s="10"/>
      <c r="T592" s="14"/>
    </row>
    <row r="593">
      <c r="A593" s="37"/>
      <c r="B593" s="5"/>
      <c r="C593" s="5"/>
      <c r="D593" s="5"/>
      <c r="E593" s="9"/>
      <c r="F593" s="5"/>
      <c r="H593" s="28"/>
      <c r="I593" s="5"/>
      <c r="J593" s="5"/>
      <c r="M593" s="28"/>
      <c r="O593" s="25"/>
      <c r="P593" s="25"/>
      <c r="Q593" s="25"/>
      <c r="R593" s="10"/>
      <c r="S593" s="10"/>
      <c r="T593" s="14"/>
    </row>
    <row r="594">
      <c r="A594" s="37"/>
      <c r="B594" s="5"/>
      <c r="C594" s="5"/>
      <c r="D594" s="5"/>
      <c r="E594" s="9"/>
      <c r="F594" s="5"/>
      <c r="H594" s="28"/>
      <c r="I594" s="5"/>
      <c r="J594" s="5"/>
      <c r="M594" s="28"/>
      <c r="O594" s="25"/>
      <c r="P594" s="25"/>
      <c r="Q594" s="25"/>
      <c r="R594" s="10"/>
      <c r="S594" s="10"/>
      <c r="T594" s="14"/>
    </row>
    <row r="595">
      <c r="A595" s="37"/>
      <c r="B595" s="5"/>
      <c r="C595" s="5"/>
      <c r="D595" s="5"/>
      <c r="E595" s="9"/>
      <c r="F595" s="5"/>
      <c r="H595" s="28"/>
      <c r="I595" s="5"/>
      <c r="J595" s="5"/>
      <c r="M595" s="28"/>
      <c r="O595" s="25"/>
      <c r="P595" s="25"/>
      <c r="Q595" s="25"/>
      <c r="R595" s="10"/>
      <c r="S595" s="10"/>
      <c r="T595" s="14"/>
    </row>
    <row r="596">
      <c r="A596" s="37"/>
      <c r="B596" s="5"/>
      <c r="C596" s="5"/>
      <c r="D596" s="5"/>
      <c r="E596" s="9"/>
      <c r="F596" s="5"/>
      <c r="H596" s="28"/>
      <c r="I596" s="5"/>
      <c r="J596" s="5"/>
      <c r="M596" s="28"/>
      <c r="O596" s="25"/>
      <c r="P596" s="25"/>
      <c r="Q596" s="25"/>
      <c r="R596" s="10"/>
      <c r="S596" s="10"/>
      <c r="T596" s="14"/>
    </row>
    <row r="597">
      <c r="A597" s="37"/>
      <c r="B597" s="5"/>
      <c r="C597" s="5"/>
      <c r="D597" s="5"/>
      <c r="E597" s="9"/>
      <c r="F597" s="5"/>
      <c r="H597" s="28"/>
      <c r="I597" s="5"/>
      <c r="J597" s="5"/>
      <c r="M597" s="28"/>
      <c r="O597" s="25"/>
      <c r="P597" s="25"/>
      <c r="Q597" s="25"/>
      <c r="R597" s="10"/>
      <c r="S597" s="10"/>
      <c r="T597" s="14"/>
    </row>
    <row r="598">
      <c r="A598" s="37"/>
      <c r="B598" s="5"/>
      <c r="C598" s="5"/>
      <c r="D598" s="5"/>
      <c r="E598" s="9"/>
      <c r="F598" s="5"/>
      <c r="H598" s="28"/>
      <c r="I598" s="5"/>
      <c r="J598" s="5"/>
      <c r="M598" s="28"/>
      <c r="O598" s="25"/>
      <c r="P598" s="25"/>
      <c r="Q598" s="25"/>
      <c r="R598" s="10"/>
      <c r="S598" s="10"/>
      <c r="T598" s="14"/>
    </row>
    <row r="599">
      <c r="A599" s="37"/>
      <c r="B599" s="5"/>
      <c r="C599" s="5"/>
      <c r="D599" s="5"/>
      <c r="E599" s="9"/>
      <c r="F599" s="5"/>
      <c r="H599" s="28"/>
      <c r="I599" s="5"/>
      <c r="J599" s="5"/>
      <c r="M599" s="28"/>
      <c r="O599" s="25"/>
      <c r="P599" s="25"/>
      <c r="Q599" s="25"/>
      <c r="R599" s="10"/>
      <c r="S599" s="10"/>
      <c r="T599" s="14"/>
    </row>
    <row r="600">
      <c r="A600" s="37"/>
      <c r="B600" s="5"/>
      <c r="C600" s="5"/>
      <c r="D600" s="5"/>
      <c r="E600" s="9"/>
      <c r="F600" s="5"/>
      <c r="H600" s="28"/>
      <c r="I600" s="5"/>
      <c r="J600" s="5"/>
      <c r="M600" s="28"/>
      <c r="O600" s="25"/>
      <c r="P600" s="25"/>
      <c r="Q600" s="25"/>
      <c r="R600" s="10"/>
      <c r="S600" s="10"/>
      <c r="T600" s="14"/>
    </row>
    <row r="601">
      <c r="A601" s="37"/>
      <c r="B601" s="5"/>
      <c r="C601" s="5"/>
      <c r="D601" s="5"/>
      <c r="E601" s="9"/>
      <c r="F601" s="5"/>
      <c r="H601" s="28"/>
      <c r="I601" s="5"/>
      <c r="J601" s="5"/>
      <c r="M601" s="28"/>
      <c r="O601" s="25"/>
      <c r="P601" s="25"/>
      <c r="Q601" s="25"/>
      <c r="R601" s="10"/>
      <c r="S601" s="10"/>
      <c r="T601" s="14"/>
    </row>
    <row r="602">
      <c r="A602" s="37"/>
      <c r="B602" s="5"/>
      <c r="C602" s="5"/>
      <c r="D602" s="5"/>
      <c r="E602" s="9"/>
      <c r="F602" s="5"/>
      <c r="H602" s="28"/>
      <c r="I602" s="5"/>
      <c r="J602" s="5"/>
      <c r="M602" s="28"/>
      <c r="O602" s="25"/>
      <c r="P602" s="25"/>
      <c r="Q602" s="25"/>
      <c r="R602" s="10"/>
      <c r="S602" s="10"/>
      <c r="T602" s="14"/>
    </row>
    <row r="603">
      <c r="A603" s="37"/>
      <c r="B603" s="5"/>
      <c r="C603" s="5"/>
      <c r="D603" s="5"/>
      <c r="E603" s="9"/>
      <c r="F603" s="5"/>
      <c r="H603" s="28"/>
      <c r="I603" s="5"/>
      <c r="J603" s="5"/>
      <c r="M603" s="28"/>
      <c r="O603" s="25"/>
      <c r="P603" s="25"/>
      <c r="Q603" s="25"/>
      <c r="R603" s="10"/>
      <c r="S603" s="10"/>
      <c r="T603" s="14"/>
    </row>
    <row r="604">
      <c r="A604" s="37"/>
      <c r="B604" s="5"/>
      <c r="C604" s="5"/>
      <c r="D604" s="5"/>
      <c r="E604" s="9"/>
      <c r="F604" s="5"/>
      <c r="H604" s="28"/>
      <c r="I604" s="5"/>
      <c r="J604" s="5"/>
      <c r="M604" s="28"/>
      <c r="O604" s="25"/>
      <c r="P604" s="25"/>
      <c r="Q604" s="25"/>
      <c r="R604" s="10"/>
      <c r="S604" s="10"/>
      <c r="T604" s="14"/>
    </row>
    <row r="605">
      <c r="A605" s="37"/>
      <c r="B605" s="5"/>
      <c r="C605" s="5"/>
      <c r="D605" s="5"/>
      <c r="E605" s="9"/>
      <c r="F605" s="5"/>
      <c r="H605" s="28"/>
      <c r="I605" s="5"/>
      <c r="J605" s="5"/>
      <c r="M605" s="28"/>
      <c r="O605" s="25"/>
      <c r="P605" s="25"/>
      <c r="Q605" s="25"/>
      <c r="R605" s="10"/>
      <c r="S605" s="10"/>
      <c r="T605" s="14"/>
    </row>
    <row r="606">
      <c r="A606" s="37"/>
      <c r="B606" s="5"/>
      <c r="C606" s="5"/>
      <c r="D606" s="5"/>
      <c r="E606" s="9"/>
      <c r="F606" s="5"/>
      <c r="H606" s="28"/>
      <c r="I606" s="5"/>
      <c r="J606" s="5"/>
      <c r="M606" s="28"/>
      <c r="O606" s="25"/>
      <c r="P606" s="25"/>
      <c r="Q606" s="25"/>
      <c r="R606" s="10"/>
      <c r="S606" s="10"/>
      <c r="T606" s="14"/>
    </row>
    <row r="607">
      <c r="A607" s="37"/>
      <c r="B607" s="5"/>
      <c r="C607" s="5"/>
      <c r="D607" s="5"/>
      <c r="E607" s="9"/>
      <c r="F607" s="5"/>
      <c r="H607" s="28"/>
      <c r="I607" s="5"/>
      <c r="J607" s="5"/>
      <c r="M607" s="28"/>
      <c r="O607" s="25"/>
      <c r="P607" s="25"/>
      <c r="Q607" s="25"/>
      <c r="R607" s="10"/>
      <c r="S607" s="10"/>
      <c r="T607" s="14"/>
    </row>
    <row r="608">
      <c r="A608" s="37"/>
      <c r="B608" s="5"/>
      <c r="C608" s="5"/>
      <c r="D608" s="5"/>
      <c r="E608" s="9"/>
      <c r="F608" s="5"/>
      <c r="H608" s="28"/>
      <c r="I608" s="5"/>
      <c r="J608" s="5"/>
      <c r="M608" s="28"/>
      <c r="O608" s="25"/>
      <c r="P608" s="25"/>
      <c r="Q608" s="25"/>
      <c r="R608" s="10"/>
      <c r="S608" s="10"/>
      <c r="T608" s="14"/>
    </row>
    <row r="609">
      <c r="A609" s="37"/>
      <c r="B609" s="5"/>
      <c r="C609" s="5"/>
      <c r="D609" s="5"/>
      <c r="E609" s="9"/>
      <c r="F609" s="5"/>
      <c r="H609" s="28"/>
      <c r="I609" s="5"/>
      <c r="J609" s="5"/>
      <c r="M609" s="28"/>
      <c r="O609" s="25"/>
      <c r="P609" s="25"/>
      <c r="Q609" s="25"/>
      <c r="R609" s="10"/>
      <c r="S609" s="10"/>
      <c r="T609" s="14"/>
    </row>
    <row r="610">
      <c r="A610" s="37"/>
      <c r="B610" s="5"/>
      <c r="C610" s="5"/>
      <c r="D610" s="5"/>
      <c r="E610" s="9"/>
      <c r="F610" s="5"/>
      <c r="H610" s="28"/>
      <c r="I610" s="5"/>
      <c r="J610" s="5"/>
      <c r="M610" s="28"/>
      <c r="O610" s="25"/>
      <c r="P610" s="25"/>
      <c r="Q610" s="25"/>
      <c r="R610" s="10"/>
      <c r="S610" s="10"/>
      <c r="T610" s="14"/>
    </row>
    <row r="611">
      <c r="A611" s="37"/>
      <c r="B611" s="5"/>
      <c r="C611" s="5"/>
      <c r="D611" s="5"/>
      <c r="E611" s="9"/>
      <c r="F611" s="5"/>
      <c r="H611" s="28"/>
      <c r="I611" s="5"/>
      <c r="J611" s="5"/>
      <c r="M611" s="28"/>
      <c r="O611" s="25"/>
      <c r="P611" s="25"/>
      <c r="Q611" s="25"/>
      <c r="R611" s="10"/>
      <c r="S611" s="10"/>
      <c r="T611" s="14"/>
    </row>
    <row r="612">
      <c r="A612" s="37"/>
      <c r="B612" s="5"/>
      <c r="C612" s="5"/>
      <c r="D612" s="5"/>
      <c r="E612" s="9"/>
      <c r="F612" s="5"/>
      <c r="H612" s="28"/>
      <c r="I612" s="5"/>
      <c r="J612" s="5"/>
      <c r="M612" s="28"/>
      <c r="O612" s="25"/>
      <c r="P612" s="25"/>
      <c r="Q612" s="25"/>
      <c r="R612" s="10"/>
      <c r="S612" s="10"/>
      <c r="T612" s="14"/>
    </row>
    <row r="613">
      <c r="A613" s="37"/>
      <c r="B613" s="5"/>
      <c r="C613" s="5"/>
      <c r="D613" s="5"/>
      <c r="E613" s="9"/>
      <c r="F613" s="5"/>
      <c r="H613" s="28"/>
      <c r="I613" s="5"/>
      <c r="J613" s="5"/>
      <c r="M613" s="28"/>
      <c r="O613" s="25"/>
      <c r="P613" s="25"/>
      <c r="Q613" s="25"/>
      <c r="R613" s="10"/>
      <c r="S613" s="10"/>
      <c r="T613" s="14"/>
    </row>
    <row r="614">
      <c r="A614" s="37"/>
      <c r="B614" s="5"/>
      <c r="C614" s="5"/>
      <c r="D614" s="5"/>
      <c r="E614" s="9"/>
      <c r="F614" s="5"/>
      <c r="H614" s="28"/>
      <c r="I614" s="5"/>
      <c r="J614" s="5"/>
      <c r="M614" s="28"/>
      <c r="O614" s="25"/>
      <c r="P614" s="25"/>
      <c r="Q614" s="25"/>
      <c r="R614" s="10"/>
      <c r="S614" s="10"/>
      <c r="T614" s="14"/>
    </row>
    <row r="615">
      <c r="A615" s="37"/>
      <c r="B615" s="5"/>
      <c r="C615" s="5"/>
      <c r="D615" s="5"/>
      <c r="E615" s="9"/>
      <c r="F615" s="5"/>
      <c r="H615" s="28"/>
      <c r="I615" s="5"/>
      <c r="J615" s="5"/>
      <c r="M615" s="28"/>
      <c r="O615" s="25"/>
      <c r="P615" s="25"/>
      <c r="Q615" s="25"/>
      <c r="R615" s="10"/>
      <c r="S615" s="10"/>
      <c r="T615" s="14"/>
    </row>
    <row r="616">
      <c r="A616" s="37"/>
      <c r="B616" s="5"/>
      <c r="C616" s="5"/>
      <c r="D616" s="5"/>
      <c r="E616" s="9"/>
      <c r="F616" s="5"/>
      <c r="H616" s="28"/>
      <c r="I616" s="5"/>
      <c r="J616" s="5"/>
      <c r="M616" s="28"/>
      <c r="O616" s="25"/>
      <c r="P616" s="25"/>
      <c r="Q616" s="25"/>
      <c r="R616" s="10"/>
      <c r="S616" s="10"/>
      <c r="T616" s="14"/>
    </row>
    <row r="617">
      <c r="A617" s="37"/>
      <c r="B617" s="5"/>
      <c r="C617" s="5"/>
      <c r="D617" s="5"/>
      <c r="E617" s="9"/>
      <c r="F617" s="5"/>
      <c r="H617" s="28"/>
      <c r="I617" s="5"/>
      <c r="J617" s="5"/>
      <c r="M617" s="28"/>
      <c r="O617" s="25"/>
      <c r="P617" s="25"/>
      <c r="Q617" s="25"/>
      <c r="R617" s="10"/>
      <c r="S617" s="10"/>
      <c r="T617" s="14"/>
    </row>
    <row r="618">
      <c r="A618" s="37"/>
      <c r="B618" s="5"/>
      <c r="C618" s="5"/>
      <c r="D618" s="5"/>
      <c r="E618" s="9"/>
      <c r="F618" s="5"/>
      <c r="H618" s="28"/>
      <c r="I618" s="5"/>
      <c r="J618" s="5"/>
      <c r="M618" s="28"/>
      <c r="O618" s="25"/>
      <c r="P618" s="25"/>
      <c r="Q618" s="25"/>
      <c r="R618" s="10"/>
      <c r="S618" s="10"/>
      <c r="T618" s="14"/>
    </row>
    <row r="619">
      <c r="A619" s="37"/>
      <c r="B619" s="5"/>
      <c r="C619" s="5"/>
      <c r="D619" s="5"/>
      <c r="E619" s="9"/>
      <c r="F619" s="5"/>
      <c r="H619" s="28"/>
      <c r="I619" s="5"/>
      <c r="J619" s="5"/>
      <c r="M619" s="28"/>
      <c r="O619" s="25"/>
      <c r="P619" s="25"/>
      <c r="Q619" s="25"/>
      <c r="R619" s="10"/>
      <c r="S619" s="10"/>
      <c r="T619" s="14"/>
    </row>
    <row r="620">
      <c r="A620" s="37"/>
      <c r="B620" s="5"/>
      <c r="C620" s="5"/>
      <c r="D620" s="5"/>
      <c r="E620" s="9"/>
      <c r="F620" s="5"/>
      <c r="H620" s="28"/>
      <c r="I620" s="5"/>
      <c r="J620" s="5"/>
      <c r="M620" s="28"/>
      <c r="O620" s="25"/>
      <c r="P620" s="25"/>
      <c r="Q620" s="25"/>
      <c r="R620" s="10"/>
      <c r="S620" s="10"/>
      <c r="T620" s="14"/>
    </row>
    <row r="621">
      <c r="A621" s="37"/>
      <c r="B621" s="5"/>
      <c r="C621" s="5"/>
      <c r="D621" s="5"/>
      <c r="E621" s="9"/>
      <c r="F621" s="5"/>
      <c r="H621" s="28"/>
      <c r="I621" s="5"/>
      <c r="J621" s="5"/>
      <c r="M621" s="28"/>
      <c r="O621" s="25"/>
      <c r="P621" s="25"/>
      <c r="Q621" s="25"/>
      <c r="R621" s="10"/>
      <c r="S621" s="10"/>
      <c r="T621" s="14"/>
    </row>
    <row r="622">
      <c r="A622" s="37"/>
      <c r="B622" s="5"/>
      <c r="C622" s="5"/>
      <c r="D622" s="5"/>
      <c r="E622" s="9"/>
      <c r="F622" s="5"/>
      <c r="H622" s="28"/>
      <c r="I622" s="5"/>
      <c r="J622" s="5"/>
      <c r="M622" s="28"/>
      <c r="O622" s="25"/>
      <c r="P622" s="25"/>
      <c r="Q622" s="25"/>
      <c r="R622" s="10"/>
      <c r="S622" s="10"/>
      <c r="T622" s="14"/>
    </row>
    <row r="623">
      <c r="A623" s="37"/>
      <c r="B623" s="5"/>
      <c r="C623" s="5"/>
      <c r="D623" s="5"/>
      <c r="E623" s="9"/>
      <c r="F623" s="5"/>
      <c r="H623" s="28"/>
      <c r="I623" s="5"/>
      <c r="J623" s="5"/>
      <c r="M623" s="28"/>
      <c r="O623" s="25"/>
      <c r="P623" s="25"/>
      <c r="Q623" s="25"/>
      <c r="R623" s="10"/>
      <c r="S623" s="10"/>
      <c r="T623" s="14"/>
    </row>
    <row r="624">
      <c r="A624" s="37"/>
      <c r="B624" s="5"/>
      <c r="C624" s="5"/>
      <c r="D624" s="5"/>
      <c r="E624" s="9"/>
      <c r="F624" s="5"/>
      <c r="H624" s="28"/>
      <c r="I624" s="5"/>
      <c r="J624" s="5"/>
      <c r="M624" s="28"/>
      <c r="O624" s="25"/>
      <c r="P624" s="25"/>
      <c r="Q624" s="25"/>
      <c r="R624" s="10"/>
      <c r="S624" s="10"/>
      <c r="T624" s="14"/>
    </row>
    <row r="625">
      <c r="A625" s="37"/>
      <c r="B625" s="5"/>
      <c r="C625" s="5"/>
      <c r="D625" s="5"/>
      <c r="E625" s="9"/>
      <c r="F625" s="5"/>
      <c r="H625" s="28"/>
      <c r="I625" s="5"/>
      <c r="J625" s="5"/>
      <c r="M625" s="28"/>
      <c r="O625" s="25"/>
      <c r="P625" s="25"/>
      <c r="Q625" s="25"/>
      <c r="R625" s="10"/>
      <c r="S625" s="10"/>
      <c r="T625" s="14"/>
    </row>
    <row r="626">
      <c r="A626" s="37"/>
      <c r="B626" s="5"/>
      <c r="C626" s="5"/>
      <c r="D626" s="5"/>
      <c r="E626" s="9"/>
      <c r="F626" s="5"/>
      <c r="H626" s="28"/>
      <c r="I626" s="5"/>
      <c r="J626" s="5"/>
      <c r="M626" s="28"/>
      <c r="O626" s="25"/>
      <c r="P626" s="25"/>
      <c r="Q626" s="25"/>
      <c r="R626" s="10"/>
      <c r="S626" s="10"/>
      <c r="T626" s="14"/>
    </row>
    <row r="627">
      <c r="A627" s="37"/>
      <c r="B627" s="5"/>
      <c r="C627" s="5"/>
      <c r="D627" s="5"/>
      <c r="E627" s="9"/>
      <c r="F627" s="5"/>
      <c r="H627" s="28"/>
      <c r="I627" s="5"/>
      <c r="J627" s="5"/>
      <c r="M627" s="28"/>
      <c r="O627" s="25"/>
      <c r="P627" s="25"/>
      <c r="Q627" s="25"/>
      <c r="R627" s="10"/>
      <c r="S627" s="10"/>
      <c r="T627" s="14"/>
    </row>
    <row r="628">
      <c r="A628" s="37"/>
      <c r="B628" s="5"/>
      <c r="C628" s="5"/>
      <c r="D628" s="5"/>
      <c r="E628" s="9"/>
      <c r="F628" s="5"/>
      <c r="H628" s="28"/>
      <c r="I628" s="5"/>
      <c r="J628" s="5"/>
      <c r="M628" s="28"/>
      <c r="O628" s="25"/>
      <c r="P628" s="25"/>
      <c r="Q628" s="25"/>
      <c r="R628" s="10"/>
      <c r="S628" s="10"/>
      <c r="T628" s="14"/>
    </row>
    <row r="629">
      <c r="A629" s="37"/>
      <c r="B629" s="5"/>
      <c r="C629" s="5"/>
      <c r="D629" s="5"/>
      <c r="E629" s="9"/>
      <c r="F629" s="5"/>
      <c r="H629" s="28"/>
      <c r="I629" s="5"/>
      <c r="J629" s="5"/>
      <c r="M629" s="28"/>
      <c r="O629" s="25"/>
      <c r="P629" s="25"/>
      <c r="Q629" s="25"/>
      <c r="R629" s="10"/>
      <c r="S629" s="10"/>
      <c r="T629" s="14"/>
    </row>
    <row r="630">
      <c r="A630" s="37"/>
      <c r="B630" s="5"/>
      <c r="C630" s="5"/>
      <c r="D630" s="5"/>
      <c r="E630" s="9"/>
      <c r="F630" s="5"/>
      <c r="H630" s="28"/>
      <c r="I630" s="5"/>
      <c r="J630" s="5"/>
      <c r="M630" s="28"/>
      <c r="O630" s="25"/>
      <c r="P630" s="25"/>
      <c r="Q630" s="25"/>
      <c r="R630" s="10"/>
      <c r="S630" s="10"/>
      <c r="T630" s="14"/>
    </row>
    <row r="631">
      <c r="A631" s="37"/>
      <c r="B631" s="5"/>
      <c r="C631" s="5"/>
      <c r="D631" s="5"/>
      <c r="E631" s="9"/>
      <c r="F631" s="5"/>
      <c r="H631" s="28"/>
      <c r="I631" s="5"/>
      <c r="J631" s="5"/>
      <c r="M631" s="28"/>
      <c r="O631" s="25"/>
      <c r="P631" s="25"/>
      <c r="Q631" s="25"/>
      <c r="R631" s="10"/>
      <c r="S631" s="10"/>
      <c r="T631" s="14"/>
    </row>
    <row r="632">
      <c r="A632" s="37"/>
      <c r="B632" s="5"/>
      <c r="C632" s="5"/>
      <c r="D632" s="5"/>
      <c r="E632" s="9"/>
      <c r="F632" s="5"/>
      <c r="H632" s="28"/>
      <c r="I632" s="5"/>
      <c r="J632" s="5"/>
      <c r="M632" s="28"/>
      <c r="O632" s="25"/>
      <c r="P632" s="25"/>
      <c r="Q632" s="25"/>
      <c r="R632" s="10"/>
      <c r="S632" s="10"/>
      <c r="T632" s="14"/>
    </row>
    <row r="633">
      <c r="A633" s="37"/>
      <c r="B633" s="5"/>
      <c r="C633" s="5"/>
      <c r="D633" s="5"/>
      <c r="E633" s="9"/>
      <c r="F633" s="5"/>
      <c r="H633" s="28"/>
      <c r="I633" s="5"/>
      <c r="J633" s="5"/>
      <c r="M633" s="28"/>
      <c r="O633" s="25"/>
      <c r="P633" s="25"/>
      <c r="Q633" s="25"/>
      <c r="R633" s="10"/>
      <c r="S633" s="10"/>
      <c r="T633" s="14"/>
    </row>
    <row r="634">
      <c r="A634" s="37"/>
      <c r="B634" s="5"/>
      <c r="C634" s="5"/>
      <c r="D634" s="5"/>
      <c r="E634" s="9"/>
      <c r="F634" s="5"/>
      <c r="H634" s="28"/>
      <c r="I634" s="5"/>
      <c r="J634" s="5"/>
      <c r="M634" s="28"/>
      <c r="O634" s="25"/>
      <c r="P634" s="25"/>
      <c r="Q634" s="25"/>
      <c r="R634" s="10"/>
      <c r="S634" s="10"/>
      <c r="T634" s="14"/>
    </row>
    <row r="635">
      <c r="A635" s="37"/>
      <c r="B635" s="5"/>
      <c r="C635" s="5"/>
      <c r="D635" s="5"/>
      <c r="E635" s="9"/>
      <c r="F635" s="5"/>
      <c r="H635" s="28"/>
      <c r="I635" s="5"/>
      <c r="J635" s="5"/>
      <c r="M635" s="28"/>
      <c r="O635" s="25"/>
      <c r="P635" s="25"/>
      <c r="Q635" s="25"/>
      <c r="R635" s="10"/>
      <c r="S635" s="10"/>
      <c r="T635" s="14"/>
    </row>
    <row r="636">
      <c r="A636" s="37"/>
      <c r="B636" s="5"/>
      <c r="C636" s="5"/>
      <c r="D636" s="5"/>
      <c r="E636" s="9"/>
      <c r="F636" s="5"/>
      <c r="H636" s="28"/>
      <c r="I636" s="5"/>
      <c r="J636" s="5"/>
      <c r="M636" s="28"/>
      <c r="O636" s="25"/>
      <c r="P636" s="25"/>
      <c r="Q636" s="25"/>
      <c r="R636" s="10"/>
      <c r="S636" s="10"/>
      <c r="T636" s="14"/>
    </row>
    <row r="637">
      <c r="A637" s="37"/>
      <c r="B637" s="5"/>
      <c r="C637" s="5"/>
      <c r="D637" s="5"/>
      <c r="E637" s="9"/>
      <c r="F637" s="5"/>
      <c r="H637" s="28"/>
      <c r="I637" s="5"/>
      <c r="J637" s="5"/>
      <c r="M637" s="28"/>
      <c r="O637" s="25"/>
      <c r="P637" s="25"/>
      <c r="Q637" s="25"/>
      <c r="R637" s="10"/>
      <c r="S637" s="10"/>
      <c r="T637" s="14"/>
    </row>
    <row r="638">
      <c r="A638" s="37"/>
      <c r="B638" s="5"/>
      <c r="C638" s="5"/>
      <c r="D638" s="5"/>
      <c r="E638" s="9"/>
      <c r="F638" s="5"/>
      <c r="H638" s="28"/>
      <c r="I638" s="5"/>
      <c r="J638" s="5"/>
      <c r="M638" s="28"/>
      <c r="O638" s="25"/>
      <c r="P638" s="25"/>
      <c r="Q638" s="25"/>
      <c r="R638" s="10"/>
      <c r="S638" s="10"/>
      <c r="T638" s="14"/>
    </row>
    <row r="639">
      <c r="A639" s="37"/>
      <c r="B639" s="5"/>
      <c r="C639" s="5"/>
      <c r="D639" s="5"/>
      <c r="E639" s="9"/>
      <c r="F639" s="5"/>
      <c r="H639" s="28"/>
      <c r="I639" s="5"/>
      <c r="J639" s="5"/>
      <c r="M639" s="28"/>
      <c r="O639" s="25"/>
      <c r="P639" s="25"/>
      <c r="Q639" s="25"/>
      <c r="R639" s="10"/>
      <c r="S639" s="10"/>
      <c r="T639" s="14"/>
    </row>
    <row r="640">
      <c r="A640" s="37"/>
      <c r="B640" s="5"/>
      <c r="C640" s="5"/>
      <c r="D640" s="5"/>
      <c r="E640" s="9"/>
      <c r="F640" s="5"/>
      <c r="H640" s="28"/>
      <c r="I640" s="5"/>
      <c r="J640" s="5"/>
      <c r="M640" s="28"/>
      <c r="O640" s="25"/>
      <c r="P640" s="25"/>
      <c r="Q640" s="25"/>
      <c r="R640" s="10"/>
      <c r="S640" s="10"/>
      <c r="T640" s="14"/>
    </row>
    <row r="641">
      <c r="A641" s="37"/>
      <c r="B641" s="5"/>
      <c r="C641" s="5"/>
      <c r="D641" s="5"/>
      <c r="E641" s="9"/>
      <c r="F641" s="5"/>
      <c r="H641" s="28"/>
      <c r="I641" s="5"/>
      <c r="J641" s="5"/>
      <c r="M641" s="28"/>
      <c r="O641" s="25"/>
      <c r="P641" s="25"/>
      <c r="Q641" s="25"/>
      <c r="R641" s="10"/>
      <c r="S641" s="10"/>
      <c r="T641" s="14"/>
    </row>
    <row r="642">
      <c r="A642" s="37"/>
      <c r="B642" s="5"/>
      <c r="C642" s="5"/>
      <c r="D642" s="5"/>
      <c r="E642" s="9"/>
      <c r="F642" s="5"/>
      <c r="H642" s="28"/>
      <c r="I642" s="5"/>
      <c r="J642" s="5"/>
      <c r="M642" s="28"/>
      <c r="O642" s="25"/>
      <c r="P642" s="25"/>
      <c r="Q642" s="25"/>
      <c r="R642" s="10"/>
      <c r="S642" s="10"/>
      <c r="T642" s="14"/>
    </row>
    <row r="643">
      <c r="A643" s="37"/>
      <c r="B643" s="5"/>
      <c r="C643" s="5"/>
      <c r="D643" s="5"/>
      <c r="E643" s="9"/>
      <c r="F643" s="5"/>
      <c r="H643" s="28"/>
      <c r="I643" s="5"/>
      <c r="J643" s="5"/>
      <c r="M643" s="28"/>
      <c r="O643" s="25"/>
      <c r="P643" s="25"/>
      <c r="Q643" s="25"/>
      <c r="R643" s="10"/>
      <c r="S643" s="10"/>
      <c r="T643" s="14"/>
    </row>
    <row r="644">
      <c r="A644" s="37"/>
      <c r="B644" s="5"/>
      <c r="C644" s="5"/>
      <c r="D644" s="5"/>
      <c r="E644" s="9"/>
      <c r="F644" s="5"/>
      <c r="H644" s="28"/>
      <c r="I644" s="5"/>
      <c r="J644" s="5"/>
      <c r="M644" s="28"/>
      <c r="O644" s="25"/>
      <c r="P644" s="25"/>
      <c r="Q644" s="25"/>
      <c r="R644" s="10"/>
      <c r="S644" s="10"/>
      <c r="T644" s="14"/>
    </row>
    <row r="645">
      <c r="A645" s="37"/>
      <c r="B645" s="5"/>
      <c r="C645" s="5"/>
      <c r="D645" s="5"/>
      <c r="E645" s="9"/>
      <c r="F645" s="5"/>
      <c r="H645" s="28"/>
      <c r="I645" s="5"/>
      <c r="J645" s="5"/>
      <c r="M645" s="28"/>
      <c r="O645" s="25"/>
      <c r="P645" s="25"/>
      <c r="Q645" s="25"/>
      <c r="R645" s="10"/>
      <c r="S645" s="10"/>
      <c r="T645" s="14"/>
    </row>
    <row r="646">
      <c r="A646" s="37"/>
      <c r="B646" s="5"/>
      <c r="C646" s="5"/>
      <c r="D646" s="5"/>
      <c r="E646" s="9"/>
      <c r="F646" s="5"/>
      <c r="H646" s="28"/>
      <c r="I646" s="5"/>
      <c r="J646" s="5"/>
      <c r="M646" s="28"/>
      <c r="O646" s="25"/>
      <c r="P646" s="25"/>
      <c r="Q646" s="25"/>
      <c r="R646" s="10"/>
      <c r="S646" s="10"/>
      <c r="T646" s="14"/>
    </row>
    <row r="647">
      <c r="A647" s="37"/>
      <c r="B647" s="5"/>
      <c r="C647" s="5"/>
      <c r="D647" s="5"/>
      <c r="E647" s="9"/>
      <c r="F647" s="5"/>
      <c r="H647" s="28"/>
      <c r="I647" s="5"/>
      <c r="J647" s="5"/>
      <c r="M647" s="28"/>
      <c r="O647" s="25"/>
      <c r="P647" s="25"/>
      <c r="Q647" s="25"/>
      <c r="R647" s="10"/>
      <c r="S647" s="10"/>
      <c r="T647" s="14"/>
    </row>
    <row r="648">
      <c r="A648" s="37"/>
      <c r="B648" s="5"/>
      <c r="C648" s="5"/>
      <c r="D648" s="5"/>
      <c r="E648" s="9"/>
      <c r="F648" s="5"/>
      <c r="H648" s="28"/>
      <c r="I648" s="5"/>
      <c r="J648" s="5"/>
      <c r="M648" s="28"/>
      <c r="O648" s="25"/>
      <c r="P648" s="25"/>
      <c r="Q648" s="25"/>
      <c r="R648" s="10"/>
      <c r="S648" s="10"/>
      <c r="T648" s="14"/>
    </row>
    <row r="649">
      <c r="A649" s="37"/>
      <c r="B649" s="5"/>
      <c r="C649" s="5"/>
      <c r="D649" s="5"/>
      <c r="E649" s="9"/>
      <c r="F649" s="5"/>
      <c r="H649" s="28"/>
      <c r="I649" s="5"/>
      <c r="J649" s="5"/>
      <c r="M649" s="28"/>
      <c r="O649" s="25"/>
      <c r="P649" s="25"/>
      <c r="Q649" s="25"/>
      <c r="R649" s="10"/>
      <c r="S649" s="10"/>
      <c r="T649" s="14"/>
    </row>
    <row r="650">
      <c r="A650" s="37"/>
      <c r="B650" s="5"/>
      <c r="C650" s="5"/>
      <c r="D650" s="5"/>
      <c r="E650" s="9"/>
      <c r="F650" s="5"/>
      <c r="H650" s="28"/>
      <c r="I650" s="5"/>
      <c r="J650" s="5"/>
      <c r="M650" s="28"/>
      <c r="O650" s="25"/>
      <c r="P650" s="25"/>
      <c r="Q650" s="25"/>
      <c r="R650" s="10"/>
      <c r="S650" s="10"/>
      <c r="T650" s="14"/>
    </row>
    <row r="651">
      <c r="A651" s="37"/>
      <c r="B651" s="5"/>
      <c r="C651" s="5"/>
      <c r="D651" s="5"/>
      <c r="E651" s="9"/>
      <c r="F651" s="5"/>
      <c r="H651" s="28"/>
      <c r="I651" s="5"/>
      <c r="J651" s="5"/>
      <c r="M651" s="28"/>
      <c r="O651" s="25"/>
      <c r="P651" s="25"/>
      <c r="Q651" s="25"/>
      <c r="R651" s="10"/>
      <c r="S651" s="10"/>
      <c r="T651" s="14"/>
    </row>
    <row r="652">
      <c r="A652" s="37"/>
      <c r="B652" s="5"/>
      <c r="C652" s="5"/>
      <c r="D652" s="5"/>
      <c r="E652" s="9"/>
      <c r="F652" s="5"/>
      <c r="H652" s="28"/>
      <c r="I652" s="5"/>
      <c r="J652" s="5"/>
      <c r="M652" s="28"/>
      <c r="O652" s="25"/>
      <c r="P652" s="25"/>
      <c r="Q652" s="25"/>
      <c r="R652" s="10"/>
      <c r="S652" s="10"/>
      <c r="T652" s="14"/>
    </row>
    <row r="653">
      <c r="A653" s="37"/>
      <c r="B653" s="5"/>
      <c r="C653" s="5"/>
      <c r="D653" s="5"/>
      <c r="E653" s="9"/>
      <c r="F653" s="5"/>
      <c r="H653" s="28"/>
      <c r="I653" s="5"/>
      <c r="J653" s="5"/>
      <c r="M653" s="28"/>
      <c r="O653" s="25"/>
      <c r="P653" s="25"/>
      <c r="Q653" s="25"/>
      <c r="R653" s="10"/>
      <c r="S653" s="10"/>
      <c r="T653" s="14"/>
    </row>
    <row r="654">
      <c r="A654" s="37"/>
      <c r="B654" s="5"/>
      <c r="C654" s="5"/>
      <c r="D654" s="5"/>
      <c r="E654" s="9"/>
      <c r="F654" s="5"/>
      <c r="H654" s="28"/>
      <c r="I654" s="5"/>
      <c r="J654" s="5"/>
      <c r="M654" s="28"/>
      <c r="O654" s="25"/>
      <c r="P654" s="25"/>
      <c r="Q654" s="25"/>
      <c r="R654" s="10"/>
      <c r="S654" s="10"/>
      <c r="T654" s="14"/>
    </row>
    <row r="655">
      <c r="A655" s="37"/>
      <c r="B655" s="5"/>
      <c r="C655" s="5"/>
      <c r="D655" s="5"/>
      <c r="E655" s="9"/>
      <c r="F655" s="5"/>
      <c r="H655" s="28"/>
      <c r="I655" s="5"/>
      <c r="J655" s="5"/>
      <c r="M655" s="28"/>
      <c r="O655" s="25"/>
      <c r="P655" s="25"/>
      <c r="Q655" s="25"/>
      <c r="R655" s="10"/>
      <c r="S655" s="10"/>
      <c r="T655" s="14"/>
    </row>
    <row r="656">
      <c r="A656" s="37"/>
      <c r="B656" s="5"/>
      <c r="C656" s="5"/>
      <c r="D656" s="5"/>
      <c r="E656" s="9"/>
      <c r="F656" s="5"/>
      <c r="H656" s="28"/>
      <c r="I656" s="5"/>
      <c r="J656" s="5"/>
      <c r="M656" s="28"/>
      <c r="O656" s="25"/>
      <c r="P656" s="25"/>
      <c r="Q656" s="25"/>
      <c r="R656" s="10"/>
      <c r="S656" s="10"/>
      <c r="T656" s="14"/>
    </row>
    <row r="657">
      <c r="A657" s="37"/>
      <c r="B657" s="5"/>
      <c r="C657" s="5"/>
      <c r="D657" s="5"/>
      <c r="E657" s="9"/>
      <c r="F657" s="5"/>
      <c r="H657" s="28"/>
      <c r="I657" s="5"/>
      <c r="J657" s="5"/>
      <c r="M657" s="28"/>
      <c r="O657" s="25"/>
      <c r="P657" s="25"/>
      <c r="Q657" s="25"/>
      <c r="R657" s="10"/>
      <c r="S657" s="10"/>
      <c r="T657" s="14"/>
    </row>
    <row r="658">
      <c r="A658" s="37"/>
      <c r="B658" s="5"/>
      <c r="C658" s="5"/>
      <c r="D658" s="5"/>
      <c r="E658" s="9"/>
      <c r="F658" s="5"/>
      <c r="H658" s="28"/>
      <c r="I658" s="5"/>
      <c r="J658" s="5"/>
      <c r="M658" s="28"/>
      <c r="O658" s="25"/>
      <c r="P658" s="25"/>
      <c r="Q658" s="25"/>
      <c r="R658" s="10"/>
      <c r="S658" s="10"/>
      <c r="T658" s="14"/>
    </row>
    <row r="659">
      <c r="A659" s="37"/>
      <c r="B659" s="5"/>
      <c r="C659" s="5"/>
      <c r="D659" s="5"/>
      <c r="E659" s="9"/>
      <c r="F659" s="5"/>
      <c r="H659" s="28"/>
      <c r="I659" s="5"/>
      <c r="J659" s="5"/>
      <c r="M659" s="28"/>
      <c r="O659" s="25"/>
      <c r="P659" s="25"/>
      <c r="Q659" s="25"/>
      <c r="R659" s="10"/>
      <c r="S659" s="10"/>
      <c r="T659" s="14"/>
    </row>
    <row r="660">
      <c r="A660" s="37"/>
      <c r="B660" s="5"/>
      <c r="C660" s="5"/>
      <c r="D660" s="5"/>
      <c r="E660" s="9"/>
      <c r="F660" s="5"/>
      <c r="H660" s="28"/>
      <c r="I660" s="5"/>
      <c r="J660" s="5"/>
      <c r="M660" s="28"/>
      <c r="O660" s="25"/>
      <c r="P660" s="25"/>
      <c r="Q660" s="25"/>
      <c r="R660" s="10"/>
      <c r="S660" s="10"/>
      <c r="T660" s="14"/>
    </row>
    <row r="661">
      <c r="A661" s="37"/>
      <c r="B661" s="5"/>
      <c r="C661" s="5"/>
      <c r="D661" s="5"/>
      <c r="E661" s="9"/>
      <c r="F661" s="5"/>
      <c r="H661" s="28"/>
      <c r="I661" s="5"/>
      <c r="J661" s="5"/>
      <c r="M661" s="28"/>
      <c r="O661" s="25"/>
      <c r="P661" s="25"/>
      <c r="Q661" s="25"/>
      <c r="R661" s="10"/>
      <c r="S661" s="10"/>
      <c r="T661" s="14"/>
    </row>
    <row r="662">
      <c r="A662" s="37"/>
      <c r="B662" s="5"/>
      <c r="C662" s="5"/>
      <c r="D662" s="5"/>
      <c r="E662" s="9"/>
      <c r="F662" s="5"/>
      <c r="H662" s="28"/>
      <c r="I662" s="5"/>
      <c r="J662" s="5"/>
      <c r="M662" s="28"/>
      <c r="O662" s="25"/>
      <c r="P662" s="25"/>
      <c r="Q662" s="25"/>
      <c r="R662" s="10"/>
      <c r="S662" s="10"/>
      <c r="T662" s="14"/>
    </row>
    <row r="663">
      <c r="A663" s="37"/>
      <c r="B663" s="5"/>
      <c r="C663" s="5"/>
      <c r="D663" s="5"/>
      <c r="E663" s="9"/>
      <c r="F663" s="5"/>
      <c r="H663" s="28"/>
      <c r="I663" s="5"/>
      <c r="J663" s="5"/>
      <c r="M663" s="28"/>
      <c r="O663" s="25"/>
      <c r="P663" s="25"/>
      <c r="Q663" s="25"/>
      <c r="R663" s="10"/>
      <c r="S663" s="10"/>
      <c r="T663" s="14"/>
    </row>
    <row r="664">
      <c r="A664" s="37"/>
      <c r="B664" s="5"/>
      <c r="C664" s="5"/>
      <c r="D664" s="5"/>
      <c r="E664" s="9"/>
      <c r="F664" s="5"/>
      <c r="H664" s="28"/>
      <c r="I664" s="5"/>
      <c r="J664" s="5"/>
      <c r="M664" s="28"/>
      <c r="O664" s="25"/>
      <c r="P664" s="25"/>
      <c r="Q664" s="25"/>
      <c r="R664" s="10"/>
      <c r="S664" s="10"/>
      <c r="T664" s="14"/>
    </row>
    <row r="665">
      <c r="A665" s="37"/>
      <c r="B665" s="5"/>
      <c r="C665" s="5"/>
      <c r="D665" s="5"/>
      <c r="E665" s="9"/>
      <c r="F665" s="5"/>
      <c r="H665" s="28"/>
      <c r="I665" s="5"/>
      <c r="J665" s="5"/>
      <c r="M665" s="28"/>
      <c r="O665" s="25"/>
      <c r="P665" s="25"/>
      <c r="Q665" s="25"/>
      <c r="R665" s="10"/>
      <c r="S665" s="10"/>
      <c r="T665" s="14"/>
    </row>
    <row r="666">
      <c r="A666" s="37"/>
      <c r="B666" s="5"/>
      <c r="C666" s="5"/>
      <c r="D666" s="5"/>
      <c r="E666" s="9"/>
      <c r="F666" s="5"/>
      <c r="H666" s="28"/>
      <c r="I666" s="5"/>
      <c r="J666" s="5"/>
      <c r="M666" s="28"/>
      <c r="O666" s="25"/>
      <c r="P666" s="25"/>
      <c r="Q666" s="25"/>
      <c r="R666" s="10"/>
      <c r="S666" s="10"/>
      <c r="T666" s="14"/>
    </row>
    <row r="667">
      <c r="A667" s="37"/>
      <c r="B667" s="5"/>
      <c r="C667" s="5"/>
      <c r="D667" s="5"/>
      <c r="E667" s="9"/>
      <c r="F667" s="5"/>
      <c r="H667" s="28"/>
      <c r="I667" s="5"/>
      <c r="J667" s="5"/>
      <c r="M667" s="28"/>
      <c r="O667" s="25"/>
      <c r="P667" s="25"/>
      <c r="Q667" s="25"/>
      <c r="R667" s="10"/>
      <c r="S667" s="10"/>
      <c r="T667" s="14"/>
    </row>
    <row r="668">
      <c r="A668" s="37"/>
      <c r="B668" s="5"/>
      <c r="C668" s="5"/>
      <c r="D668" s="5"/>
      <c r="E668" s="9"/>
      <c r="F668" s="5"/>
      <c r="H668" s="28"/>
      <c r="I668" s="5"/>
      <c r="J668" s="5"/>
      <c r="M668" s="28"/>
      <c r="O668" s="25"/>
      <c r="P668" s="25"/>
      <c r="Q668" s="25"/>
      <c r="R668" s="10"/>
      <c r="S668" s="10"/>
      <c r="T668" s="14"/>
    </row>
    <row r="669">
      <c r="A669" s="37"/>
      <c r="B669" s="5"/>
      <c r="C669" s="5"/>
      <c r="D669" s="5"/>
      <c r="E669" s="9"/>
      <c r="F669" s="5"/>
      <c r="H669" s="28"/>
      <c r="I669" s="5"/>
      <c r="J669" s="5"/>
      <c r="M669" s="28"/>
      <c r="O669" s="25"/>
      <c r="P669" s="25"/>
      <c r="Q669" s="25"/>
      <c r="R669" s="10"/>
      <c r="S669" s="10"/>
      <c r="T669" s="14"/>
    </row>
    <row r="670">
      <c r="A670" s="37"/>
      <c r="B670" s="5"/>
      <c r="C670" s="5"/>
      <c r="D670" s="5"/>
      <c r="E670" s="9"/>
      <c r="F670" s="5"/>
      <c r="H670" s="28"/>
      <c r="I670" s="5"/>
      <c r="J670" s="5"/>
      <c r="M670" s="28"/>
      <c r="O670" s="25"/>
      <c r="P670" s="25"/>
      <c r="Q670" s="25"/>
      <c r="R670" s="10"/>
      <c r="S670" s="10"/>
      <c r="T670" s="14"/>
    </row>
    <row r="671">
      <c r="A671" s="37"/>
      <c r="B671" s="5"/>
      <c r="C671" s="5"/>
      <c r="D671" s="5"/>
      <c r="E671" s="9"/>
      <c r="F671" s="5"/>
      <c r="H671" s="28"/>
      <c r="I671" s="5"/>
      <c r="J671" s="5"/>
      <c r="M671" s="28"/>
      <c r="O671" s="25"/>
      <c r="P671" s="25"/>
      <c r="Q671" s="25"/>
      <c r="R671" s="10"/>
      <c r="S671" s="10"/>
      <c r="T671" s="14"/>
    </row>
    <row r="672">
      <c r="A672" s="37"/>
      <c r="B672" s="5"/>
      <c r="C672" s="5"/>
      <c r="D672" s="5"/>
      <c r="E672" s="9"/>
      <c r="F672" s="5"/>
      <c r="H672" s="28"/>
      <c r="I672" s="5"/>
      <c r="J672" s="5"/>
      <c r="M672" s="28"/>
      <c r="O672" s="25"/>
      <c r="P672" s="25"/>
      <c r="Q672" s="25"/>
      <c r="R672" s="10"/>
      <c r="S672" s="10"/>
      <c r="T672" s="14"/>
    </row>
    <row r="673">
      <c r="A673" s="37"/>
      <c r="B673" s="5"/>
      <c r="C673" s="5"/>
      <c r="D673" s="5"/>
      <c r="E673" s="9"/>
      <c r="F673" s="5"/>
      <c r="H673" s="28"/>
      <c r="I673" s="5"/>
      <c r="J673" s="5"/>
      <c r="M673" s="28"/>
      <c r="O673" s="25"/>
      <c r="P673" s="25"/>
      <c r="Q673" s="25"/>
      <c r="R673" s="10"/>
      <c r="S673" s="10"/>
      <c r="T673" s="14"/>
    </row>
    <row r="674">
      <c r="A674" s="37"/>
      <c r="B674" s="5"/>
      <c r="C674" s="5"/>
      <c r="D674" s="5"/>
      <c r="E674" s="9"/>
      <c r="F674" s="5"/>
      <c r="H674" s="28"/>
      <c r="I674" s="5"/>
      <c r="J674" s="5"/>
      <c r="M674" s="28"/>
      <c r="O674" s="25"/>
      <c r="P674" s="25"/>
      <c r="Q674" s="25"/>
      <c r="R674" s="10"/>
      <c r="S674" s="10"/>
      <c r="T674" s="14"/>
    </row>
    <row r="675">
      <c r="A675" s="37"/>
      <c r="B675" s="5"/>
      <c r="C675" s="5"/>
      <c r="D675" s="5"/>
      <c r="E675" s="9"/>
      <c r="F675" s="5"/>
      <c r="H675" s="28"/>
      <c r="I675" s="5"/>
      <c r="J675" s="5"/>
      <c r="M675" s="28"/>
      <c r="O675" s="25"/>
      <c r="P675" s="25"/>
      <c r="Q675" s="25"/>
      <c r="R675" s="10"/>
      <c r="S675" s="10"/>
      <c r="T675" s="14"/>
    </row>
    <row r="676">
      <c r="A676" s="37"/>
      <c r="B676" s="5"/>
      <c r="C676" s="5"/>
      <c r="D676" s="5"/>
      <c r="E676" s="9"/>
      <c r="F676" s="5"/>
      <c r="H676" s="28"/>
      <c r="I676" s="5"/>
      <c r="J676" s="5"/>
      <c r="M676" s="28"/>
      <c r="O676" s="25"/>
      <c r="P676" s="25"/>
      <c r="Q676" s="25"/>
      <c r="R676" s="10"/>
      <c r="S676" s="10"/>
      <c r="T676" s="14"/>
    </row>
    <row r="677">
      <c r="A677" s="37"/>
      <c r="B677" s="5"/>
      <c r="C677" s="5"/>
      <c r="D677" s="5"/>
      <c r="E677" s="9"/>
      <c r="F677" s="5"/>
      <c r="H677" s="28"/>
      <c r="I677" s="5"/>
      <c r="J677" s="5"/>
      <c r="M677" s="28"/>
      <c r="O677" s="25"/>
      <c r="P677" s="25"/>
      <c r="Q677" s="25"/>
      <c r="R677" s="10"/>
      <c r="S677" s="10"/>
      <c r="T677" s="14"/>
    </row>
    <row r="678">
      <c r="A678" s="37"/>
      <c r="B678" s="5"/>
      <c r="C678" s="5"/>
      <c r="D678" s="5"/>
      <c r="E678" s="9"/>
      <c r="F678" s="5"/>
      <c r="H678" s="28"/>
      <c r="I678" s="5"/>
      <c r="J678" s="5"/>
      <c r="M678" s="28"/>
      <c r="O678" s="25"/>
      <c r="P678" s="25"/>
      <c r="Q678" s="25"/>
      <c r="R678" s="10"/>
      <c r="S678" s="10"/>
      <c r="T678" s="14"/>
    </row>
    <row r="679">
      <c r="A679" s="37"/>
      <c r="B679" s="5"/>
      <c r="C679" s="5"/>
      <c r="D679" s="5"/>
      <c r="E679" s="9"/>
      <c r="F679" s="5"/>
      <c r="H679" s="28"/>
      <c r="I679" s="5"/>
      <c r="J679" s="5"/>
      <c r="M679" s="28"/>
      <c r="O679" s="25"/>
      <c r="P679" s="25"/>
      <c r="Q679" s="25"/>
      <c r="R679" s="10"/>
      <c r="S679" s="10"/>
      <c r="T679" s="14"/>
    </row>
    <row r="680">
      <c r="A680" s="37"/>
      <c r="B680" s="5"/>
      <c r="C680" s="5"/>
      <c r="D680" s="5"/>
      <c r="E680" s="9"/>
      <c r="F680" s="5"/>
      <c r="H680" s="28"/>
      <c r="I680" s="5"/>
      <c r="J680" s="5"/>
      <c r="M680" s="28"/>
      <c r="O680" s="25"/>
      <c r="P680" s="25"/>
      <c r="Q680" s="25"/>
      <c r="R680" s="10"/>
      <c r="S680" s="10"/>
      <c r="T680" s="14"/>
    </row>
    <row r="681">
      <c r="A681" s="37"/>
      <c r="B681" s="5"/>
      <c r="C681" s="5"/>
      <c r="D681" s="5"/>
      <c r="E681" s="9"/>
      <c r="F681" s="5"/>
      <c r="H681" s="28"/>
      <c r="I681" s="5"/>
      <c r="J681" s="5"/>
      <c r="M681" s="28"/>
      <c r="O681" s="25"/>
      <c r="P681" s="25"/>
      <c r="Q681" s="25"/>
      <c r="R681" s="10"/>
      <c r="S681" s="10"/>
      <c r="T681" s="14"/>
    </row>
    <row r="682">
      <c r="A682" s="37"/>
      <c r="B682" s="5"/>
      <c r="C682" s="5"/>
      <c r="D682" s="5"/>
      <c r="E682" s="9"/>
      <c r="F682" s="5"/>
      <c r="H682" s="28"/>
      <c r="I682" s="5"/>
      <c r="J682" s="5"/>
      <c r="M682" s="28"/>
      <c r="O682" s="25"/>
      <c r="P682" s="25"/>
      <c r="Q682" s="25"/>
      <c r="R682" s="10"/>
      <c r="S682" s="10"/>
      <c r="T682" s="14"/>
    </row>
    <row r="683">
      <c r="A683" s="37"/>
      <c r="B683" s="5"/>
      <c r="C683" s="5"/>
      <c r="D683" s="5"/>
      <c r="E683" s="9"/>
      <c r="F683" s="5"/>
      <c r="H683" s="28"/>
      <c r="I683" s="5"/>
      <c r="J683" s="5"/>
      <c r="M683" s="28"/>
      <c r="O683" s="25"/>
      <c r="P683" s="25"/>
      <c r="Q683" s="25"/>
      <c r="R683" s="10"/>
      <c r="S683" s="10"/>
      <c r="T683" s="14"/>
    </row>
    <row r="684">
      <c r="A684" s="37"/>
      <c r="B684" s="5"/>
      <c r="C684" s="5"/>
      <c r="D684" s="5"/>
      <c r="E684" s="9"/>
      <c r="F684" s="5"/>
      <c r="H684" s="28"/>
      <c r="I684" s="5"/>
      <c r="J684" s="5"/>
      <c r="M684" s="28"/>
      <c r="O684" s="25"/>
      <c r="P684" s="25"/>
      <c r="Q684" s="25"/>
      <c r="R684" s="10"/>
      <c r="S684" s="10"/>
      <c r="T684" s="14"/>
    </row>
    <row r="685">
      <c r="A685" s="37"/>
      <c r="B685" s="5"/>
      <c r="C685" s="5"/>
      <c r="D685" s="5"/>
      <c r="E685" s="9"/>
      <c r="F685" s="5"/>
      <c r="H685" s="28"/>
      <c r="I685" s="5"/>
      <c r="J685" s="5"/>
      <c r="M685" s="28"/>
      <c r="O685" s="25"/>
      <c r="P685" s="25"/>
      <c r="Q685" s="25"/>
      <c r="R685" s="10"/>
      <c r="S685" s="10"/>
      <c r="T685" s="14"/>
    </row>
    <row r="686">
      <c r="A686" s="37"/>
      <c r="B686" s="5"/>
      <c r="C686" s="5"/>
      <c r="D686" s="5"/>
      <c r="E686" s="9"/>
      <c r="F686" s="5"/>
      <c r="H686" s="28"/>
      <c r="I686" s="5"/>
      <c r="J686" s="5"/>
      <c r="M686" s="28"/>
      <c r="O686" s="25"/>
      <c r="P686" s="25"/>
      <c r="Q686" s="25"/>
      <c r="R686" s="10"/>
      <c r="S686" s="10"/>
      <c r="T686" s="14"/>
    </row>
    <row r="687">
      <c r="A687" s="37"/>
      <c r="B687" s="5"/>
      <c r="C687" s="5"/>
      <c r="D687" s="5"/>
      <c r="E687" s="9"/>
      <c r="F687" s="5"/>
      <c r="H687" s="28"/>
      <c r="I687" s="5"/>
      <c r="J687" s="5"/>
      <c r="M687" s="28"/>
      <c r="O687" s="25"/>
      <c r="P687" s="25"/>
      <c r="Q687" s="25"/>
      <c r="R687" s="10"/>
      <c r="S687" s="10"/>
      <c r="T687" s="14"/>
    </row>
    <row r="688">
      <c r="A688" s="37"/>
      <c r="B688" s="5"/>
      <c r="C688" s="5"/>
      <c r="D688" s="5"/>
      <c r="E688" s="9"/>
      <c r="F688" s="5"/>
      <c r="H688" s="28"/>
      <c r="I688" s="5"/>
      <c r="J688" s="5"/>
      <c r="M688" s="28"/>
      <c r="O688" s="25"/>
      <c r="P688" s="25"/>
      <c r="Q688" s="25"/>
      <c r="R688" s="10"/>
      <c r="S688" s="10"/>
      <c r="T688" s="14"/>
    </row>
    <row r="689">
      <c r="A689" s="37"/>
      <c r="B689" s="5"/>
      <c r="C689" s="5"/>
      <c r="D689" s="5"/>
      <c r="E689" s="9"/>
      <c r="F689" s="5"/>
      <c r="H689" s="28"/>
      <c r="I689" s="5"/>
      <c r="J689" s="5"/>
      <c r="M689" s="28"/>
      <c r="O689" s="25"/>
      <c r="P689" s="25"/>
      <c r="Q689" s="25"/>
      <c r="R689" s="10"/>
      <c r="S689" s="10"/>
      <c r="T689" s="14"/>
    </row>
    <row r="690">
      <c r="A690" s="37"/>
      <c r="B690" s="5"/>
      <c r="C690" s="5"/>
      <c r="D690" s="5"/>
      <c r="E690" s="9"/>
      <c r="F690" s="5"/>
      <c r="H690" s="28"/>
      <c r="I690" s="5"/>
      <c r="J690" s="5"/>
      <c r="M690" s="28"/>
      <c r="O690" s="25"/>
      <c r="P690" s="25"/>
      <c r="Q690" s="25"/>
      <c r="R690" s="10"/>
      <c r="S690" s="10"/>
      <c r="T690" s="14"/>
    </row>
    <row r="691">
      <c r="A691" s="37"/>
      <c r="B691" s="5"/>
      <c r="C691" s="5"/>
      <c r="D691" s="5"/>
      <c r="E691" s="9"/>
      <c r="F691" s="5"/>
      <c r="H691" s="28"/>
      <c r="I691" s="5"/>
      <c r="J691" s="5"/>
      <c r="M691" s="28"/>
      <c r="O691" s="25"/>
      <c r="P691" s="25"/>
      <c r="Q691" s="25"/>
      <c r="R691" s="10"/>
      <c r="S691" s="10"/>
      <c r="T691" s="14"/>
    </row>
    <row r="692">
      <c r="A692" s="37"/>
      <c r="B692" s="5"/>
      <c r="C692" s="5"/>
      <c r="D692" s="5"/>
      <c r="E692" s="9"/>
      <c r="F692" s="5"/>
      <c r="H692" s="28"/>
      <c r="I692" s="5"/>
      <c r="J692" s="5"/>
      <c r="M692" s="28"/>
      <c r="O692" s="25"/>
      <c r="P692" s="25"/>
      <c r="Q692" s="25"/>
      <c r="R692" s="10"/>
      <c r="S692" s="10"/>
      <c r="T692" s="14"/>
    </row>
    <row r="693">
      <c r="A693" s="37"/>
      <c r="B693" s="5"/>
      <c r="C693" s="5"/>
      <c r="D693" s="5"/>
      <c r="E693" s="9"/>
      <c r="F693" s="5"/>
      <c r="H693" s="28"/>
      <c r="I693" s="5"/>
      <c r="J693" s="5"/>
      <c r="M693" s="28"/>
      <c r="O693" s="25"/>
      <c r="P693" s="25"/>
      <c r="Q693" s="25"/>
      <c r="R693" s="10"/>
      <c r="S693" s="10"/>
      <c r="T693" s="14"/>
    </row>
    <row r="694">
      <c r="A694" s="37"/>
      <c r="B694" s="5"/>
      <c r="C694" s="5"/>
      <c r="D694" s="5"/>
      <c r="E694" s="9"/>
      <c r="F694" s="5"/>
      <c r="H694" s="28"/>
      <c r="I694" s="5"/>
      <c r="J694" s="5"/>
      <c r="M694" s="28"/>
      <c r="O694" s="25"/>
      <c r="P694" s="25"/>
      <c r="Q694" s="25"/>
      <c r="R694" s="10"/>
      <c r="S694" s="10"/>
      <c r="T694" s="14"/>
    </row>
    <row r="695">
      <c r="A695" s="37"/>
      <c r="B695" s="5"/>
      <c r="C695" s="5"/>
      <c r="D695" s="5"/>
      <c r="E695" s="9"/>
      <c r="F695" s="5"/>
      <c r="H695" s="28"/>
      <c r="I695" s="5"/>
      <c r="J695" s="5"/>
      <c r="M695" s="28"/>
      <c r="O695" s="25"/>
      <c r="P695" s="25"/>
      <c r="Q695" s="25"/>
      <c r="R695" s="10"/>
      <c r="S695" s="10"/>
      <c r="T695" s="14"/>
    </row>
    <row r="696">
      <c r="A696" s="37"/>
      <c r="B696" s="5"/>
      <c r="C696" s="5"/>
      <c r="D696" s="5"/>
      <c r="E696" s="9"/>
      <c r="F696" s="5"/>
      <c r="H696" s="28"/>
      <c r="I696" s="5"/>
      <c r="J696" s="5"/>
      <c r="M696" s="28"/>
      <c r="O696" s="25"/>
      <c r="P696" s="25"/>
      <c r="Q696" s="25"/>
      <c r="R696" s="10"/>
      <c r="S696" s="10"/>
      <c r="T696" s="14"/>
    </row>
    <row r="697">
      <c r="A697" s="37"/>
      <c r="B697" s="5"/>
      <c r="C697" s="5"/>
      <c r="D697" s="5"/>
      <c r="E697" s="9"/>
      <c r="F697" s="5"/>
      <c r="H697" s="28"/>
      <c r="I697" s="5"/>
      <c r="J697" s="5"/>
      <c r="M697" s="28"/>
      <c r="O697" s="25"/>
      <c r="P697" s="25"/>
      <c r="Q697" s="25"/>
      <c r="R697" s="10"/>
      <c r="S697" s="10"/>
      <c r="T697" s="14"/>
    </row>
    <row r="698">
      <c r="A698" s="37"/>
      <c r="B698" s="5"/>
      <c r="C698" s="5"/>
      <c r="D698" s="5"/>
      <c r="E698" s="9"/>
      <c r="F698" s="5"/>
      <c r="H698" s="28"/>
      <c r="I698" s="5"/>
      <c r="J698" s="5"/>
      <c r="M698" s="28"/>
      <c r="O698" s="25"/>
      <c r="P698" s="25"/>
      <c r="Q698" s="25"/>
      <c r="R698" s="10"/>
      <c r="S698" s="10"/>
      <c r="T698" s="14"/>
    </row>
    <row r="699">
      <c r="A699" s="37"/>
      <c r="B699" s="5"/>
      <c r="C699" s="5"/>
      <c r="D699" s="5"/>
      <c r="E699" s="9"/>
      <c r="F699" s="5"/>
      <c r="H699" s="28"/>
      <c r="I699" s="5"/>
      <c r="J699" s="5"/>
      <c r="M699" s="28"/>
      <c r="O699" s="25"/>
      <c r="P699" s="25"/>
      <c r="Q699" s="25"/>
      <c r="R699" s="10"/>
      <c r="S699" s="10"/>
      <c r="T699" s="14"/>
    </row>
    <row r="700">
      <c r="A700" s="37"/>
      <c r="B700" s="5"/>
      <c r="C700" s="5"/>
      <c r="D700" s="5"/>
      <c r="E700" s="9"/>
      <c r="F700" s="5"/>
      <c r="H700" s="28"/>
      <c r="I700" s="5"/>
      <c r="J700" s="5"/>
      <c r="M700" s="28"/>
      <c r="O700" s="25"/>
      <c r="P700" s="25"/>
      <c r="Q700" s="25"/>
      <c r="R700" s="10"/>
      <c r="S700" s="10"/>
      <c r="T700" s="14"/>
    </row>
    <row r="701">
      <c r="A701" s="37"/>
      <c r="B701" s="5"/>
      <c r="C701" s="5"/>
      <c r="D701" s="5"/>
      <c r="E701" s="9"/>
      <c r="F701" s="5"/>
      <c r="H701" s="28"/>
      <c r="I701" s="5"/>
      <c r="J701" s="5"/>
      <c r="M701" s="28"/>
      <c r="O701" s="25"/>
      <c r="P701" s="25"/>
      <c r="Q701" s="25"/>
      <c r="R701" s="10"/>
      <c r="S701" s="10"/>
      <c r="T701" s="14"/>
    </row>
    <row r="702">
      <c r="A702" s="37"/>
      <c r="B702" s="5"/>
      <c r="C702" s="5"/>
      <c r="D702" s="5"/>
      <c r="E702" s="9"/>
      <c r="F702" s="5"/>
      <c r="H702" s="28"/>
      <c r="I702" s="5"/>
      <c r="J702" s="5"/>
      <c r="M702" s="28"/>
      <c r="O702" s="25"/>
      <c r="P702" s="25"/>
      <c r="Q702" s="25"/>
      <c r="R702" s="10"/>
      <c r="S702" s="10"/>
      <c r="T702" s="14"/>
    </row>
    <row r="703">
      <c r="A703" s="37"/>
      <c r="B703" s="5"/>
      <c r="C703" s="5"/>
      <c r="D703" s="5"/>
      <c r="E703" s="9"/>
      <c r="F703" s="5"/>
      <c r="H703" s="28"/>
      <c r="I703" s="5"/>
      <c r="J703" s="5"/>
      <c r="M703" s="28"/>
      <c r="O703" s="25"/>
      <c r="P703" s="25"/>
      <c r="Q703" s="25"/>
      <c r="R703" s="10"/>
      <c r="S703" s="10"/>
      <c r="T703" s="14"/>
    </row>
    <row r="704">
      <c r="A704" s="37"/>
      <c r="B704" s="5"/>
      <c r="C704" s="5"/>
      <c r="D704" s="5"/>
      <c r="E704" s="9"/>
      <c r="F704" s="5"/>
      <c r="H704" s="28"/>
      <c r="I704" s="5"/>
      <c r="J704" s="5"/>
      <c r="M704" s="28"/>
      <c r="O704" s="25"/>
      <c r="P704" s="25"/>
      <c r="Q704" s="25"/>
      <c r="R704" s="10"/>
      <c r="S704" s="10"/>
      <c r="T704" s="14"/>
    </row>
    <row r="705">
      <c r="A705" s="37"/>
      <c r="B705" s="5"/>
      <c r="C705" s="5"/>
      <c r="D705" s="5"/>
      <c r="E705" s="9"/>
      <c r="F705" s="5"/>
      <c r="H705" s="28"/>
      <c r="I705" s="5"/>
      <c r="J705" s="5"/>
      <c r="M705" s="28"/>
      <c r="O705" s="25"/>
      <c r="P705" s="25"/>
      <c r="Q705" s="25"/>
      <c r="R705" s="10"/>
      <c r="S705" s="10"/>
      <c r="T705" s="14"/>
    </row>
    <row r="706">
      <c r="A706" s="37"/>
      <c r="B706" s="5"/>
      <c r="C706" s="5"/>
      <c r="D706" s="5"/>
      <c r="E706" s="9"/>
      <c r="F706" s="5"/>
      <c r="H706" s="28"/>
      <c r="I706" s="5"/>
      <c r="J706" s="5"/>
      <c r="M706" s="28"/>
      <c r="O706" s="25"/>
      <c r="P706" s="25"/>
      <c r="Q706" s="25"/>
      <c r="R706" s="10"/>
      <c r="S706" s="10"/>
      <c r="T706" s="14"/>
    </row>
    <row r="707">
      <c r="A707" s="37"/>
      <c r="B707" s="5"/>
      <c r="C707" s="5"/>
      <c r="D707" s="5"/>
      <c r="E707" s="9"/>
      <c r="F707" s="5"/>
      <c r="H707" s="28"/>
      <c r="I707" s="5"/>
      <c r="J707" s="5"/>
      <c r="M707" s="28"/>
      <c r="O707" s="25"/>
      <c r="P707" s="25"/>
      <c r="Q707" s="25"/>
      <c r="R707" s="10"/>
      <c r="S707" s="10"/>
      <c r="T707" s="14"/>
    </row>
    <row r="708">
      <c r="A708" s="37"/>
      <c r="B708" s="5"/>
      <c r="C708" s="5"/>
      <c r="D708" s="5"/>
      <c r="E708" s="9"/>
      <c r="F708" s="5"/>
      <c r="H708" s="28"/>
      <c r="I708" s="5"/>
      <c r="J708" s="5"/>
      <c r="M708" s="28"/>
      <c r="O708" s="25"/>
      <c r="P708" s="25"/>
      <c r="Q708" s="25"/>
      <c r="R708" s="10"/>
      <c r="S708" s="10"/>
      <c r="T708" s="14"/>
    </row>
    <row r="709">
      <c r="A709" s="37"/>
      <c r="B709" s="5"/>
      <c r="C709" s="5"/>
      <c r="D709" s="5"/>
      <c r="E709" s="9"/>
      <c r="F709" s="5"/>
      <c r="H709" s="28"/>
      <c r="I709" s="5"/>
      <c r="J709" s="5"/>
      <c r="M709" s="28"/>
      <c r="O709" s="25"/>
      <c r="P709" s="25"/>
      <c r="Q709" s="25"/>
      <c r="R709" s="10"/>
      <c r="S709" s="10"/>
      <c r="T709" s="14"/>
    </row>
    <row r="710">
      <c r="A710" s="37"/>
      <c r="B710" s="5"/>
      <c r="C710" s="5"/>
      <c r="D710" s="5"/>
      <c r="E710" s="9"/>
      <c r="F710" s="5"/>
      <c r="H710" s="28"/>
      <c r="I710" s="5"/>
      <c r="J710" s="5"/>
      <c r="M710" s="28"/>
      <c r="O710" s="25"/>
      <c r="P710" s="25"/>
      <c r="Q710" s="25"/>
      <c r="R710" s="10"/>
      <c r="S710" s="10"/>
      <c r="T710" s="14"/>
    </row>
    <row r="711">
      <c r="A711" s="37"/>
      <c r="B711" s="5"/>
      <c r="C711" s="5"/>
      <c r="D711" s="5"/>
      <c r="E711" s="9"/>
      <c r="F711" s="5"/>
      <c r="H711" s="28"/>
      <c r="I711" s="5"/>
      <c r="J711" s="5"/>
      <c r="M711" s="28"/>
      <c r="O711" s="25"/>
      <c r="P711" s="25"/>
      <c r="Q711" s="25"/>
      <c r="R711" s="10"/>
      <c r="S711" s="10"/>
      <c r="T711" s="14"/>
    </row>
    <row r="712">
      <c r="A712" s="37"/>
      <c r="B712" s="5"/>
      <c r="C712" s="5"/>
      <c r="D712" s="5"/>
      <c r="E712" s="9"/>
      <c r="F712" s="5"/>
      <c r="H712" s="28"/>
      <c r="I712" s="5"/>
      <c r="J712" s="5"/>
      <c r="M712" s="28"/>
      <c r="O712" s="25"/>
      <c r="P712" s="25"/>
      <c r="Q712" s="25"/>
      <c r="R712" s="10"/>
      <c r="S712" s="10"/>
      <c r="T712" s="14"/>
    </row>
    <row r="713">
      <c r="A713" s="37"/>
      <c r="B713" s="5"/>
      <c r="C713" s="5"/>
      <c r="D713" s="5"/>
      <c r="E713" s="9"/>
      <c r="F713" s="5"/>
      <c r="H713" s="28"/>
      <c r="I713" s="5"/>
      <c r="J713" s="5"/>
      <c r="M713" s="28"/>
      <c r="O713" s="25"/>
      <c r="P713" s="25"/>
      <c r="Q713" s="25"/>
      <c r="R713" s="10"/>
      <c r="S713" s="10"/>
      <c r="T713" s="14"/>
    </row>
    <row r="714">
      <c r="A714" s="37"/>
      <c r="B714" s="5"/>
      <c r="C714" s="5"/>
      <c r="D714" s="5"/>
      <c r="E714" s="9"/>
      <c r="F714" s="5"/>
      <c r="H714" s="28"/>
      <c r="I714" s="5"/>
      <c r="J714" s="5"/>
      <c r="M714" s="28"/>
      <c r="O714" s="25"/>
      <c r="P714" s="25"/>
      <c r="Q714" s="25"/>
      <c r="R714" s="10"/>
      <c r="S714" s="10"/>
      <c r="T714" s="14"/>
    </row>
    <row r="715">
      <c r="A715" s="37"/>
      <c r="B715" s="5"/>
      <c r="C715" s="5"/>
      <c r="D715" s="5"/>
      <c r="E715" s="9"/>
      <c r="F715" s="5"/>
      <c r="H715" s="28"/>
      <c r="I715" s="5"/>
      <c r="J715" s="5"/>
      <c r="M715" s="28"/>
      <c r="O715" s="25"/>
      <c r="P715" s="25"/>
      <c r="Q715" s="25"/>
      <c r="R715" s="10"/>
      <c r="S715" s="10"/>
      <c r="T715" s="14"/>
    </row>
    <row r="716">
      <c r="A716" s="37"/>
      <c r="B716" s="5"/>
      <c r="C716" s="5"/>
      <c r="D716" s="5"/>
      <c r="E716" s="9"/>
      <c r="F716" s="5"/>
      <c r="H716" s="28"/>
      <c r="I716" s="5"/>
      <c r="J716" s="5"/>
      <c r="M716" s="28"/>
      <c r="O716" s="25"/>
      <c r="P716" s="25"/>
      <c r="Q716" s="25"/>
      <c r="R716" s="10"/>
      <c r="S716" s="10"/>
      <c r="T716" s="14"/>
    </row>
    <row r="717">
      <c r="A717" s="37"/>
      <c r="B717" s="5"/>
      <c r="C717" s="5"/>
      <c r="D717" s="5"/>
      <c r="E717" s="9"/>
      <c r="F717" s="5"/>
      <c r="H717" s="28"/>
      <c r="I717" s="5"/>
      <c r="J717" s="5"/>
      <c r="M717" s="28"/>
      <c r="O717" s="25"/>
      <c r="P717" s="25"/>
      <c r="Q717" s="25"/>
      <c r="R717" s="10"/>
      <c r="S717" s="10"/>
      <c r="T717" s="14"/>
    </row>
    <row r="718">
      <c r="A718" s="37"/>
      <c r="B718" s="5"/>
      <c r="C718" s="5"/>
      <c r="D718" s="5"/>
      <c r="E718" s="9"/>
      <c r="F718" s="5"/>
      <c r="H718" s="28"/>
      <c r="I718" s="5"/>
      <c r="J718" s="5"/>
      <c r="M718" s="28"/>
      <c r="O718" s="25"/>
      <c r="P718" s="25"/>
      <c r="Q718" s="25"/>
      <c r="R718" s="10"/>
      <c r="S718" s="10"/>
      <c r="T718" s="14"/>
    </row>
    <row r="719">
      <c r="A719" s="37"/>
      <c r="B719" s="5"/>
      <c r="C719" s="5"/>
      <c r="D719" s="5"/>
      <c r="E719" s="9"/>
      <c r="F719" s="5"/>
      <c r="H719" s="28"/>
      <c r="I719" s="5"/>
      <c r="J719" s="5"/>
      <c r="M719" s="28"/>
      <c r="O719" s="25"/>
      <c r="P719" s="25"/>
      <c r="Q719" s="25"/>
      <c r="R719" s="10"/>
      <c r="S719" s="10"/>
      <c r="T719" s="14"/>
    </row>
    <row r="720">
      <c r="A720" s="37"/>
      <c r="B720" s="5"/>
      <c r="C720" s="5"/>
      <c r="D720" s="5"/>
      <c r="E720" s="9"/>
      <c r="F720" s="5"/>
      <c r="H720" s="28"/>
      <c r="I720" s="5"/>
      <c r="J720" s="5"/>
      <c r="M720" s="28"/>
      <c r="O720" s="25"/>
      <c r="P720" s="25"/>
      <c r="Q720" s="25"/>
      <c r="R720" s="10"/>
      <c r="S720" s="10"/>
      <c r="T720" s="14"/>
    </row>
    <row r="721">
      <c r="A721" s="37"/>
      <c r="B721" s="5"/>
      <c r="C721" s="5"/>
      <c r="D721" s="5"/>
      <c r="E721" s="9"/>
      <c r="F721" s="5"/>
      <c r="H721" s="28"/>
      <c r="I721" s="5"/>
      <c r="J721" s="5"/>
      <c r="M721" s="28"/>
      <c r="O721" s="25"/>
      <c r="P721" s="25"/>
      <c r="Q721" s="25"/>
      <c r="R721" s="10"/>
      <c r="S721" s="10"/>
      <c r="T721" s="14"/>
    </row>
    <row r="722">
      <c r="A722" s="37"/>
      <c r="B722" s="5"/>
      <c r="C722" s="5"/>
      <c r="D722" s="5"/>
      <c r="E722" s="9"/>
      <c r="F722" s="5"/>
      <c r="H722" s="28"/>
      <c r="I722" s="5"/>
      <c r="J722" s="5"/>
      <c r="M722" s="28"/>
      <c r="O722" s="25"/>
      <c r="P722" s="25"/>
      <c r="Q722" s="25"/>
      <c r="R722" s="10"/>
      <c r="S722" s="10"/>
      <c r="T722" s="14"/>
    </row>
    <row r="723">
      <c r="A723" s="37"/>
      <c r="B723" s="5"/>
      <c r="C723" s="5"/>
      <c r="D723" s="5"/>
      <c r="E723" s="9"/>
      <c r="F723" s="5"/>
      <c r="H723" s="28"/>
      <c r="I723" s="5"/>
      <c r="J723" s="5"/>
      <c r="M723" s="28"/>
      <c r="O723" s="25"/>
      <c r="P723" s="25"/>
      <c r="Q723" s="25"/>
      <c r="R723" s="10"/>
      <c r="S723" s="10"/>
      <c r="T723" s="14"/>
    </row>
    <row r="724">
      <c r="A724" s="37"/>
      <c r="B724" s="5"/>
      <c r="C724" s="5"/>
      <c r="D724" s="5"/>
      <c r="E724" s="9"/>
      <c r="F724" s="5"/>
      <c r="H724" s="28"/>
      <c r="I724" s="5"/>
      <c r="J724" s="5"/>
      <c r="M724" s="28"/>
      <c r="O724" s="25"/>
      <c r="P724" s="25"/>
      <c r="Q724" s="25"/>
      <c r="R724" s="10"/>
      <c r="S724" s="10"/>
      <c r="T724" s="14"/>
    </row>
    <row r="725">
      <c r="A725" s="37"/>
      <c r="B725" s="5"/>
      <c r="C725" s="5"/>
      <c r="D725" s="5"/>
      <c r="E725" s="9"/>
      <c r="F725" s="5"/>
      <c r="H725" s="28"/>
      <c r="I725" s="5"/>
      <c r="J725" s="5"/>
      <c r="M725" s="28"/>
      <c r="O725" s="25"/>
      <c r="P725" s="25"/>
      <c r="Q725" s="25"/>
      <c r="R725" s="10"/>
      <c r="S725" s="10"/>
      <c r="T725" s="14"/>
    </row>
    <row r="726">
      <c r="A726" s="37"/>
      <c r="B726" s="5"/>
      <c r="C726" s="5"/>
      <c r="D726" s="5"/>
      <c r="E726" s="9"/>
      <c r="F726" s="5"/>
      <c r="H726" s="28"/>
      <c r="I726" s="5"/>
      <c r="J726" s="5"/>
      <c r="M726" s="28"/>
      <c r="O726" s="25"/>
      <c r="P726" s="25"/>
      <c r="Q726" s="25"/>
      <c r="R726" s="10"/>
      <c r="S726" s="10"/>
      <c r="T726" s="14"/>
    </row>
    <row r="727">
      <c r="A727" s="37"/>
      <c r="B727" s="5"/>
      <c r="C727" s="5"/>
      <c r="D727" s="5"/>
      <c r="E727" s="9"/>
      <c r="F727" s="5"/>
      <c r="H727" s="28"/>
      <c r="I727" s="5"/>
      <c r="J727" s="5"/>
      <c r="M727" s="28"/>
      <c r="O727" s="25"/>
      <c r="P727" s="25"/>
      <c r="Q727" s="25"/>
      <c r="R727" s="10"/>
      <c r="S727" s="10"/>
      <c r="T727" s="14"/>
    </row>
    <row r="728">
      <c r="A728" s="37"/>
      <c r="B728" s="5"/>
      <c r="C728" s="5"/>
      <c r="D728" s="5"/>
      <c r="E728" s="9"/>
      <c r="F728" s="5"/>
      <c r="H728" s="28"/>
      <c r="I728" s="5"/>
      <c r="J728" s="5"/>
      <c r="M728" s="28"/>
      <c r="O728" s="25"/>
      <c r="P728" s="25"/>
      <c r="Q728" s="25"/>
      <c r="R728" s="10"/>
      <c r="S728" s="10"/>
      <c r="T728" s="14"/>
    </row>
    <row r="729">
      <c r="A729" s="37"/>
      <c r="B729" s="5"/>
      <c r="C729" s="5"/>
      <c r="D729" s="5"/>
      <c r="E729" s="9"/>
      <c r="F729" s="5"/>
      <c r="H729" s="28"/>
      <c r="I729" s="5"/>
      <c r="J729" s="5"/>
      <c r="M729" s="28"/>
      <c r="O729" s="25"/>
      <c r="P729" s="25"/>
      <c r="Q729" s="25"/>
      <c r="R729" s="10"/>
      <c r="S729" s="10"/>
      <c r="T729" s="14"/>
    </row>
    <row r="730">
      <c r="A730" s="37"/>
      <c r="B730" s="5"/>
      <c r="C730" s="5"/>
      <c r="D730" s="5"/>
      <c r="E730" s="9"/>
      <c r="F730" s="5"/>
      <c r="H730" s="28"/>
      <c r="I730" s="5"/>
      <c r="J730" s="5"/>
      <c r="M730" s="28"/>
      <c r="O730" s="25"/>
      <c r="P730" s="25"/>
      <c r="Q730" s="25"/>
      <c r="R730" s="10"/>
      <c r="S730" s="10"/>
      <c r="T730" s="14"/>
    </row>
    <row r="731">
      <c r="A731" s="37"/>
      <c r="B731" s="5"/>
      <c r="C731" s="5"/>
      <c r="D731" s="5"/>
      <c r="E731" s="9"/>
      <c r="F731" s="5"/>
      <c r="H731" s="28"/>
      <c r="I731" s="5"/>
      <c r="J731" s="5"/>
      <c r="M731" s="28"/>
      <c r="O731" s="25"/>
      <c r="P731" s="25"/>
      <c r="Q731" s="25"/>
      <c r="R731" s="10"/>
      <c r="S731" s="10"/>
      <c r="T731" s="14"/>
    </row>
    <row r="732">
      <c r="A732" s="37"/>
      <c r="B732" s="5"/>
      <c r="C732" s="5"/>
      <c r="D732" s="5"/>
      <c r="E732" s="9"/>
      <c r="F732" s="5"/>
      <c r="H732" s="28"/>
      <c r="I732" s="5"/>
      <c r="J732" s="5"/>
      <c r="M732" s="28"/>
      <c r="O732" s="25"/>
      <c r="P732" s="25"/>
      <c r="Q732" s="25"/>
      <c r="R732" s="10"/>
      <c r="S732" s="10"/>
      <c r="T732" s="14"/>
    </row>
    <row r="733">
      <c r="A733" s="37"/>
      <c r="B733" s="5"/>
      <c r="C733" s="5"/>
      <c r="D733" s="5"/>
      <c r="E733" s="9"/>
      <c r="F733" s="5"/>
      <c r="H733" s="28"/>
      <c r="I733" s="5"/>
      <c r="J733" s="5"/>
      <c r="M733" s="28"/>
      <c r="O733" s="25"/>
      <c r="P733" s="25"/>
      <c r="Q733" s="25"/>
      <c r="R733" s="10"/>
      <c r="S733" s="10"/>
      <c r="T733" s="14"/>
    </row>
    <row r="734">
      <c r="A734" s="37"/>
      <c r="B734" s="5"/>
      <c r="C734" s="5"/>
      <c r="D734" s="5"/>
      <c r="E734" s="9"/>
      <c r="F734" s="5"/>
      <c r="H734" s="28"/>
      <c r="I734" s="5"/>
      <c r="J734" s="5"/>
      <c r="M734" s="28"/>
      <c r="O734" s="25"/>
      <c r="P734" s="25"/>
      <c r="Q734" s="25"/>
      <c r="R734" s="10"/>
      <c r="S734" s="10"/>
      <c r="T734" s="14"/>
    </row>
    <row r="735">
      <c r="A735" s="37"/>
      <c r="B735" s="5"/>
      <c r="C735" s="5"/>
      <c r="D735" s="5"/>
      <c r="E735" s="9"/>
      <c r="F735" s="5"/>
      <c r="H735" s="28"/>
      <c r="I735" s="5"/>
      <c r="J735" s="5"/>
      <c r="M735" s="28"/>
      <c r="O735" s="25"/>
      <c r="P735" s="25"/>
      <c r="Q735" s="25"/>
      <c r="R735" s="10"/>
      <c r="S735" s="10"/>
      <c r="T735" s="14"/>
    </row>
    <row r="736">
      <c r="A736" s="37"/>
      <c r="B736" s="5"/>
      <c r="C736" s="5"/>
      <c r="D736" s="5"/>
      <c r="E736" s="9"/>
      <c r="F736" s="5"/>
      <c r="H736" s="28"/>
      <c r="I736" s="5"/>
      <c r="J736" s="5"/>
      <c r="M736" s="28"/>
      <c r="O736" s="25"/>
      <c r="P736" s="25"/>
      <c r="Q736" s="25"/>
      <c r="R736" s="10"/>
      <c r="S736" s="10"/>
      <c r="T736" s="14"/>
    </row>
    <row r="737">
      <c r="A737" s="37"/>
      <c r="B737" s="5"/>
      <c r="C737" s="5"/>
      <c r="D737" s="5"/>
      <c r="E737" s="9"/>
      <c r="F737" s="5"/>
      <c r="H737" s="28"/>
      <c r="I737" s="5"/>
      <c r="J737" s="5"/>
      <c r="M737" s="28"/>
      <c r="O737" s="25"/>
      <c r="P737" s="25"/>
      <c r="Q737" s="25"/>
      <c r="R737" s="10"/>
      <c r="S737" s="10"/>
      <c r="T737" s="14"/>
    </row>
    <row r="738">
      <c r="A738" s="37"/>
      <c r="B738" s="5"/>
      <c r="C738" s="5"/>
      <c r="D738" s="5"/>
      <c r="E738" s="9"/>
      <c r="F738" s="5"/>
      <c r="H738" s="28"/>
      <c r="I738" s="5"/>
      <c r="J738" s="5"/>
      <c r="M738" s="28"/>
      <c r="O738" s="25"/>
      <c r="P738" s="25"/>
      <c r="Q738" s="25"/>
      <c r="R738" s="10"/>
      <c r="S738" s="10"/>
      <c r="T738" s="14"/>
    </row>
    <row r="739">
      <c r="A739" s="37"/>
      <c r="B739" s="5"/>
      <c r="C739" s="5"/>
      <c r="D739" s="5"/>
      <c r="E739" s="9"/>
      <c r="F739" s="5"/>
      <c r="H739" s="28"/>
      <c r="I739" s="5"/>
      <c r="J739" s="5"/>
      <c r="M739" s="28"/>
      <c r="O739" s="25"/>
      <c r="P739" s="25"/>
      <c r="Q739" s="25"/>
      <c r="R739" s="10"/>
      <c r="S739" s="10"/>
      <c r="T739" s="14"/>
    </row>
    <row r="740">
      <c r="A740" s="37"/>
      <c r="B740" s="5"/>
      <c r="C740" s="5"/>
      <c r="D740" s="5"/>
      <c r="E740" s="9"/>
      <c r="F740" s="5"/>
      <c r="H740" s="28"/>
      <c r="I740" s="5"/>
      <c r="J740" s="5"/>
      <c r="M740" s="28"/>
      <c r="O740" s="25"/>
      <c r="P740" s="25"/>
      <c r="Q740" s="25"/>
      <c r="R740" s="10"/>
      <c r="S740" s="10"/>
      <c r="T740" s="14"/>
    </row>
    <row r="741">
      <c r="A741" s="37"/>
      <c r="B741" s="5"/>
      <c r="C741" s="5"/>
      <c r="D741" s="5"/>
      <c r="E741" s="9"/>
      <c r="F741" s="5"/>
      <c r="H741" s="28"/>
      <c r="I741" s="5"/>
      <c r="J741" s="5"/>
      <c r="M741" s="28"/>
      <c r="O741" s="25"/>
      <c r="P741" s="25"/>
      <c r="Q741" s="25"/>
      <c r="R741" s="10"/>
      <c r="S741" s="10"/>
      <c r="T741" s="14"/>
    </row>
    <row r="742">
      <c r="A742" s="37"/>
      <c r="B742" s="5"/>
      <c r="C742" s="5"/>
      <c r="D742" s="5"/>
      <c r="E742" s="9"/>
      <c r="F742" s="5"/>
      <c r="H742" s="28"/>
      <c r="I742" s="5"/>
      <c r="J742" s="5"/>
      <c r="M742" s="28"/>
      <c r="O742" s="25"/>
      <c r="P742" s="25"/>
      <c r="Q742" s="25"/>
      <c r="R742" s="10"/>
      <c r="S742" s="10"/>
      <c r="T742" s="14"/>
    </row>
    <row r="743">
      <c r="A743" s="37"/>
      <c r="B743" s="5"/>
      <c r="C743" s="5"/>
      <c r="D743" s="5"/>
      <c r="E743" s="9"/>
      <c r="F743" s="5"/>
      <c r="H743" s="28"/>
      <c r="I743" s="5"/>
      <c r="J743" s="5"/>
      <c r="M743" s="28"/>
      <c r="O743" s="25"/>
      <c r="P743" s="25"/>
      <c r="Q743" s="25"/>
      <c r="R743" s="10"/>
      <c r="S743" s="10"/>
      <c r="T743" s="14"/>
    </row>
    <row r="744">
      <c r="A744" s="37"/>
      <c r="B744" s="5"/>
      <c r="C744" s="5"/>
      <c r="D744" s="5"/>
      <c r="E744" s="9"/>
      <c r="F744" s="5"/>
      <c r="H744" s="28"/>
      <c r="I744" s="5"/>
      <c r="J744" s="5"/>
      <c r="M744" s="28"/>
      <c r="O744" s="25"/>
      <c r="P744" s="25"/>
      <c r="Q744" s="25"/>
      <c r="R744" s="10"/>
      <c r="S744" s="10"/>
      <c r="T744" s="14"/>
    </row>
    <row r="745">
      <c r="A745" s="37"/>
      <c r="B745" s="5"/>
      <c r="C745" s="5"/>
      <c r="D745" s="5"/>
      <c r="E745" s="9"/>
      <c r="F745" s="5"/>
      <c r="H745" s="28"/>
      <c r="I745" s="5"/>
      <c r="J745" s="5"/>
      <c r="M745" s="28"/>
      <c r="O745" s="25"/>
      <c r="P745" s="25"/>
      <c r="Q745" s="25"/>
      <c r="R745" s="10"/>
      <c r="S745" s="10"/>
      <c r="T745" s="14"/>
    </row>
    <row r="746">
      <c r="A746" s="37"/>
      <c r="B746" s="5"/>
      <c r="C746" s="5"/>
      <c r="D746" s="5"/>
      <c r="E746" s="9"/>
      <c r="F746" s="5"/>
      <c r="H746" s="28"/>
      <c r="I746" s="5"/>
      <c r="J746" s="5"/>
      <c r="M746" s="28"/>
      <c r="O746" s="25"/>
      <c r="P746" s="25"/>
      <c r="Q746" s="25"/>
      <c r="R746" s="10"/>
      <c r="S746" s="10"/>
      <c r="T746" s="14"/>
    </row>
    <row r="747">
      <c r="A747" s="37"/>
      <c r="B747" s="5"/>
      <c r="C747" s="5"/>
      <c r="D747" s="5"/>
      <c r="E747" s="9"/>
      <c r="F747" s="5"/>
      <c r="H747" s="28"/>
      <c r="I747" s="5"/>
      <c r="J747" s="5"/>
      <c r="M747" s="28"/>
      <c r="O747" s="25"/>
      <c r="P747" s="25"/>
      <c r="Q747" s="25"/>
      <c r="R747" s="10"/>
      <c r="S747" s="10"/>
      <c r="T747" s="14"/>
    </row>
    <row r="748">
      <c r="A748" s="37"/>
      <c r="B748" s="5"/>
      <c r="C748" s="5"/>
      <c r="D748" s="5"/>
      <c r="E748" s="9"/>
      <c r="F748" s="5"/>
      <c r="H748" s="28"/>
      <c r="I748" s="5"/>
      <c r="J748" s="5"/>
      <c r="M748" s="28"/>
      <c r="O748" s="25"/>
      <c r="P748" s="25"/>
      <c r="Q748" s="25"/>
      <c r="R748" s="10"/>
      <c r="S748" s="10"/>
      <c r="T748" s="14"/>
    </row>
    <row r="749">
      <c r="A749" s="37"/>
      <c r="B749" s="5"/>
      <c r="C749" s="5"/>
      <c r="D749" s="5"/>
      <c r="E749" s="9"/>
      <c r="F749" s="5"/>
      <c r="H749" s="28"/>
      <c r="I749" s="5"/>
      <c r="J749" s="5"/>
      <c r="M749" s="28"/>
      <c r="O749" s="25"/>
      <c r="P749" s="25"/>
      <c r="Q749" s="25"/>
      <c r="R749" s="10"/>
      <c r="S749" s="10"/>
      <c r="T749" s="14"/>
    </row>
    <row r="750">
      <c r="A750" s="37"/>
      <c r="B750" s="5"/>
      <c r="C750" s="5"/>
      <c r="D750" s="5"/>
      <c r="E750" s="9"/>
      <c r="F750" s="5"/>
      <c r="H750" s="28"/>
      <c r="I750" s="5"/>
      <c r="J750" s="5"/>
      <c r="M750" s="28"/>
      <c r="O750" s="25"/>
      <c r="P750" s="25"/>
      <c r="Q750" s="25"/>
      <c r="R750" s="10"/>
      <c r="S750" s="10"/>
      <c r="T750" s="14"/>
    </row>
    <row r="751">
      <c r="A751" s="37"/>
      <c r="B751" s="5"/>
      <c r="C751" s="5"/>
      <c r="D751" s="5"/>
      <c r="E751" s="9"/>
      <c r="F751" s="5"/>
      <c r="H751" s="28"/>
      <c r="I751" s="5"/>
      <c r="J751" s="5"/>
      <c r="M751" s="28"/>
      <c r="O751" s="25"/>
      <c r="P751" s="25"/>
      <c r="Q751" s="25"/>
      <c r="R751" s="10"/>
      <c r="S751" s="10"/>
      <c r="T751" s="14"/>
    </row>
    <row r="752">
      <c r="A752" s="37"/>
      <c r="B752" s="5"/>
      <c r="C752" s="5"/>
      <c r="D752" s="5"/>
      <c r="E752" s="9"/>
      <c r="F752" s="5"/>
      <c r="H752" s="28"/>
      <c r="I752" s="5"/>
      <c r="J752" s="5"/>
      <c r="M752" s="28"/>
      <c r="O752" s="25"/>
      <c r="P752" s="25"/>
      <c r="Q752" s="25"/>
      <c r="R752" s="10"/>
      <c r="S752" s="10"/>
      <c r="T752" s="14"/>
    </row>
    <row r="753">
      <c r="A753" s="37"/>
      <c r="B753" s="5"/>
      <c r="C753" s="5"/>
      <c r="D753" s="5"/>
      <c r="E753" s="9"/>
      <c r="F753" s="5"/>
      <c r="H753" s="28"/>
      <c r="I753" s="5"/>
      <c r="J753" s="5"/>
      <c r="M753" s="28"/>
      <c r="O753" s="25"/>
      <c r="P753" s="25"/>
      <c r="Q753" s="25"/>
      <c r="R753" s="10"/>
      <c r="S753" s="10"/>
      <c r="T753" s="14"/>
    </row>
    <row r="754">
      <c r="A754" s="37"/>
      <c r="B754" s="5"/>
      <c r="C754" s="5"/>
      <c r="D754" s="5"/>
      <c r="E754" s="9"/>
      <c r="F754" s="5"/>
      <c r="H754" s="28"/>
      <c r="I754" s="5"/>
      <c r="J754" s="5"/>
      <c r="M754" s="28"/>
      <c r="O754" s="25"/>
      <c r="P754" s="25"/>
      <c r="Q754" s="25"/>
      <c r="R754" s="10"/>
      <c r="S754" s="10"/>
      <c r="T754" s="14"/>
    </row>
    <row r="755">
      <c r="A755" s="37"/>
      <c r="B755" s="5"/>
      <c r="C755" s="5"/>
      <c r="D755" s="5"/>
      <c r="E755" s="9"/>
      <c r="F755" s="5"/>
      <c r="H755" s="28"/>
      <c r="I755" s="5"/>
      <c r="J755" s="5"/>
      <c r="M755" s="28"/>
      <c r="O755" s="25"/>
      <c r="P755" s="25"/>
      <c r="Q755" s="25"/>
      <c r="R755" s="10"/>
      <c r="S755" s="10"/>
      <c r="T755" s="14"/>
    </row>
    <row r="756">
      <c r="A756" s="37"/>
      <c r="B756" s="5"/>
      <c r="C756" s="5"/>
      <c r="D756" s="5"/>
      <c r="E756" s="9"/>
      <c r="F756" s="5"/>
      <c r="H756" s="28"/>
      <c r="I756" s="5"/>
      <c r="J756" s="5"/>
      <c r="M756" s="28"/>
      <c r="O756" s="25"/>
      <c r="P756" s="25"/>
      <c r="Q756" s="25"/>
      <c r="R756" s="10"/>
      <c r="S756" s="10"/>
      <c r="T756" s="14"/>
    </row>
    <row r="757">
      <c r="A757" s="37"/>
      <c r="B757" s="5"/>
      <c r="C757" s="5"/>
      <c r="D757" s="5"/>
      <c r="E757" s="9"/>
      <c r="F757" s="5"/>
      <c r="H757" s="28"/>
      <c r="I757" s="5"/>
      <c r="J757" s="5"/>
      <c r="M757" s="28"/>
      <c r="O757" s="25"/>
      <c r="P757" s="25"/>
      <c r="Q757" s="25"/>
      <c r="R757" s="10"/>
      <c r="S757" s="10"/>
      <c r="T757" s="14"/>
    </row>
    <row r="758">
      <c r="A758" s="37"/>
      <c r="B758" s="5"/>
      <c r="C758" s="5"/>
      <c r="D758" s="5"/>
      <c r="E758" s="9"/>
      <c r="F758" s="5"/>
      <c r="H758" s="28"/>
      <c r="I758" s="5"/>
      <c r="J758" s="5"/>
      <c r="M758" s="28"/>
      <c r="O758" s="25"/>
      <c r="P758" s="25"/>
      <c r="Q758" s="25"/>
      <c r="R758" s="10"/>
      <c r="S758" s="10"/>
      <c r="T758" s="14"/>
    </row>
    <row r="759">
      <c r="A759" s="37"/>
      <c r="B759" s="5"/>
      <c r="C759" s="5"/>
      <c r="D759" s="5"/>
      <c r="E759" s="9"/>
      <c r="F759" s="5"/>
      <c r="H759" s="28"/>
      <c r="I759" s="5"/>
      <c r="J759" s="5"/>
      <c r="M759" s="28"/>
      <c r="O759" s="25"/>
      <c r="P759" s="25"/>
      <c r="Q759" s="25"/>
      <c r="R759" s="10"/>
      <c r="S759" s="10"/>
      <c r="T759" s="14"/>
    </row>
    <row r="760">
      <c r="A760" s="37"/>
      <c r="B760" s="5"/>
      <c r="C760" s="5"/>
      <c r="D760" s="5"/>
      <c r="E760" s="9"/>
      <c r="F760" s="5"/>
      <c r="H760" s="28"/>
      <c r="I760" s="5"/>
      <c r="J760" s="5"/>
      <c r="M760" s="28"/>
      <c r="O760" s="25"/>
      <c r="P760" s="25"/>
      <c r="Q760" s="25"/>
      <c r="R760" s="10"/>
      <c r="S760" s="10"/>
      <c r="T760" s="14"/>
    </row>
    <row r="761">
      <c r="A761" s="37"/>
      <c r="B761" s="5"/>
      <c r="C761" s="5"/>
      <c r="D761" s="5"/>
      <c r="E761" s="9"/>
      <c r="F761" s="5"/>
      <c r="H761" s="28"/>
      <c r="I761" s="5"/>
      <c r="J761" s="5"/>
      <c r="M761" s="28"/>
      <c r="O761" s="25"/>
      <c r="P761" s="25"/>
      <c r="Q761" s="25"/>
      <c r="R761" s="10"/>
      <c r="S761" s="10"/>
      <c r="T761" s="14"/>
    </row>
    <row r="762">
      <c r="A762" s="37"/>
      <c r="B762" s="5"/>
      <c r="C762" s="5"/>
      <c r="D762" s="5"/>
      <c r="E762" s="9"/>
      <c r="F762" s="5"/>
      <c r="H762" s="28"/>
      <c r="I762" s="5"/>
      <c r="J762" s="5"/>
      <c r="M762" s="28"/>
      <c r="O762" s="25"/>
      <c r="P762" s="25"/>
      <c r="Q762" s="25"/>
      <c r="R762" s="10"/>
      <c r="S762" s="10"/>
      <c r="T762" s="14"/>
    </row>
    <row r="763">
      <c r="A763" s="37"/>
      <c r="B763" s="5"/>
      <c r="C763" s="5"/>
      <c r="D763" s="5"/>
      <c r="E763" s="9"/>
      <c r="F763" s="5"/>
      <c r="H763" s="28"/>
      <c r="I763" s="5"/>
      <c r="J763" s="5"/>
      <c r="M763" s="28"/>
      <c r="O763" s="25"/>
      <c r="P763" s="25"/>
      <c r="Q763" s="25"/>
      <c r="R763" s="10"/>
      <c r="S763" s="10"/>
      <c r="T763" s="14"/>
    </row>
    <row r="764">
      <c r="A764" s="37"/>
      <c r="B764" s="5"/>
      <c r="C764" s="5"/>
      <c r="D764" s="5"/>
      <c r="E764" s="9"/>
      <c r="F764" s="5"/>
      <c r="H764" s="28"/>
      <c r="I764" s="5"/>
      <c r="J764" s="5"/>
      <c r="M764" s="28"/>
      <c r="O764" s="25"/>
      <c r="P764" s="25"/>
      <c r="Q764" s="25"/>
      <c r="R764" s="10"/>
      <c r="S764" s="10"/>
      <c r="T764" s="14"/>
    </row>
    <row r="765">
      <c r="A765" s="37"/>
      <c r="B765" s="5"/>
      <c r="C765" s="5"/>
      <c r="D765" s="5"/>
      <c r="E765" s="9"/>
      <c r="F765" s="5"/>
      <c r="H765" s="28"/>
      <c r="I765" s="5"/>
      <c r="J765" s="5"/>
      <c r="M765" s="28"/>
      <c r="O765" s="25"/>
      <c r="P765" s="25"/>
      <c r="Q765" s="25"/>
      <c r="R765" s="10"/>
      <c r="S765" s="10"/>
      <c r="T765" s="14"/>
    </row>
    <row r="766">
      <c r="A766" s="37"/>
      <c r="B766" s="5"/>
      <c r="C766" s="5"/>
      <c r="D766" s="5"/>
      <c r="E766" s="9"/>
      <c r="F766" s="5"/>
      <c r="H766" s="28"/>
      <c r="I766" s="5"/>
      <c r="J766" s="5"/>
      <c r="M766" s="28"/>
      <c r="O766" s="25"/>
      <c r="P766" s="25"/>
      <c r="Q766" s="25"/>
      <c r="R766" s="10"/>
      <c r="S766" s="10"/>
      <c r="T766" s="14"/>
    </row>
    <row r="767">
      <c r="A767" s="37"/>
      <c r="B767" s="5"/>
      <c r="C767" s="5"/>
      <c r="D767" s="5"/>
      <c r="E767" s="9"/>
      <c r="F767" s="5"/>
      <c r="H767" s="28"/>
      <c r="I767" s="5"/>
      <c r="J767" s="5"/>
      <c r="M767" s="28"/>
      <c r="O767" s="25"/>
      <c r="P767" s="25"/>
      <c r="Q767" s="25"/>
      <c r="R767" s="10"/>
      <c r="S767" s="10"/>
      <c r="T767" s="14"/>
    </row>
    <row r="768">
      <c r="A768" s="37"/>
      <c r="B768" s="5"/>
      <c r="C768" s="5"/>
      <c r="D768" s="5"/>
      <c r="E768" s="9"/>
      <c r="F768" s="5"/>
      <c r="H768" s="28"/>
      <c r="I768" s="5"/>
      <c r="J768" s="5"/>
      <c r="M768" s="28"/>
      <c r="O768" s="25"/>
      <c r="P768" s="25"/>
      <c r="Q768" s="25"/>
      <c r="R768" s="10"/>
      <c r="S768" s="10"/>
      <c r="T768" s="14"/>
    </row>
    <row r="769">
      <c r="A769" s="37"/>
      <c r="B769" s="5"/>
      <c r="C769" s="5"/>
      <c r="D769" s="5"/>
      <c r="E769" s="9"/>
      <c r="F769" s="5"/>
      <c r="H769" s="28"/>
      <c r="I769" s="5"/>
      <c r="J769" s="5"/>
      <c r="M769" s="28"/>
      <c r="O769" s="25"/>
      <c r="P769" s="25"/>
      <c r="Q769" s="25"/>
      <c r="R769" s="10"/>
      <c r="S769" s="10"/>
      <c r="T769" s="14"/>
    </row>
    <row r="770">
      <c r="A770" s="37"/>
      <c r="B770" s="5"/>
      <c r="C770" s="5"/>
      <c r="D770" s="5"/>
      <c r="E770" s="9"/>
      <c r="F770" s="5"/>
      <c r="H770" s="28"/>
      <c r="I770" s="5"/>
      <c r="J770" s="5"/>
      <c r="M770" s="28"/>
      <c r="O770" s="25"/>
      <c r="P770" s="25"/>
      <c r="Q770" s="25"/>
      <c r="R770" s="10"/>
      <c r="S770" s="10"/>
      <c r="T770" s="14"/>
    </row>
    <row r="771">
      <c r="A771" s="37"/>
      <c r="B771" s="5"/>
      <c r="C771" s="5"/>
      <c r="D771" s="5"/>
      <c r="E771" s="9"/>
      <c r="F771" s="5"/>
      <c r="H771" s="28"/>
      <c r="I771" s="5"/>
      <c r="J771" s="5"/>
      <c r="M771" s="28"/>
      <c r="O771" s="25"/>
      <c r="P771" s="25"/>
      <c r="Q771" s="25"/>
      <c r="R771" s="10"/>
      <c r="S771" s="10"/>
      <c r="T771" s="14"/>
    </row>
    <row r="772">
      <c r="A772" s="37"/>
      <c r="B772" s="5"/>
      <c r="C772" s="5"/>
      <c r="D772" s="5"/>
      <c r="E772" s="9"/>
      <c r="F772" s="5"/>
      <c r="H772" s="28"/>
      <c r="I772" s="5"/>
      <c r="J772" s="5"/>
      <c r="M772" s="28"/>
      <c r="O772" s="25"/>
      <c r="P772" s="25"/>
      <c r="Q772" s="25"/>
      <c r="R772" s="10"/>
      <c r="S772" s="10"/>
      <c r="T772" s="14"/>
    </row>
    <row r="773">
      <c r="A773" s="37"/>
      <c r="B773" s="5"/>
      <c r="C773" s="5"/>
      <c r="D773" s="5"/>
      <c r="E773" s="9"/>
      <c r="F773" s="5"/>
      <c r="H773" s="28"/>
      <c r="I773" s="5"/>
      <c r="J773" s="5"/>
      <c r="M773" s="28"/>
      <c r="O773" s="25"/>
      <c r="P773" s="25"/>
      <c r="Q773" s="25"/>
      <c r="R773" s="10"/>
      <c r="S773" s="10"/>
      <c r="T773" s="14"/>
    </row>
    <row r="774">
      <c r="A774" s="37"/>
      <c r="B774" s="5"/>
      <c r="C774" s="5"/>
      <c r="D774" s="5"/>
      <c r="E774" s="9"/>
      <c r="F774" s="5"/>
      <c r="H774" s="28"/>
      <c r="I774" s="5"/>
      <c r="J774" s="5"/>
      <c r="M774" s="28"/>
      <c r="O774" s="25"/>
      <c r="P774" s="25"/>
      <c r="Q774" s="25"/>
      <c r="R774" s="10"/>
      <c r="S774" s="10"/>
      <c r="T774" s="14"/>
    </row>
    <row r="775">
      <c r="A775" s="37"/>
      <c r="B775" s="5"/>
      <c r="C775" s="5"/>
      <c r="D775" s="5"/>
      <c r="E775" s="9"/>
      <c r="F775" s="5"/>
      <c r="H775" s="28"/>
      <c r="I775" s="5"/>
      <c r="J775" s="5"/>
      <c r="M775" s="28"/>
      <c r="O775" s="25"/>
      <c r="P775" s="25"/>
      <c r="Q775" s="25"/>
      <c r="R775" s="10"/>
      <c r="S775" s="10"/>
      <c r="T775" s="14"/>
    </row>
    <row r="776">
      <c r="A776" s="37"/>
      <c r="B776" s="5"/>
      <c r="C776" s="5"/>
      <c r="D776" s="5"/>
      <c r="E776" s="9"/>
      <c r="F776" s="5"/>
      <c r="H776" s="28"/>
      <c r="I776" s="5"/>
      <c r="J776" s="5"/>
      <c r="M776" s="28"/>
      <c r="O776" s="25"/>
      <c r="P776" s="25"/>
      <c r="Q776" s="25"/>
      <c r="R776" s="10"/>
      <c r="S776" s="10"/>
      <c r="T776" s="14"/>
    </row>
    <row r="777">
      <c r="A777" s="37"/>
      <c r="B777" s="5"/>
      <c r="C777" s="5"/>
      <c r="D777" s="5"/>
      <c r="E777" s="9"/>
      <c r="F777" s="5"/>
      <c r="H777" s="28"/>
      <c r="I777" s="5"/>
      <c r="J777" s="5"/>
      <c r="M777" s="28"/>
      <c r="O777" s="25"/>
      <c r="P777" s="25"/>
      <c r="Q777" s="25"/>
      <c r="R777" s="10"/>
      <c r="S777" s="10"/>
      <c r="T777" s="14"/>
    </row>
    <row r="778">
      <c r="A778" s="37"/>
      <c r="B778" s="5"/>
      <c r="C778" s="5"/>
      <c r="D778" s="5"/>
      <c r="E778" s="9"/>
      <c r="F778" s="5"/>
      <c r="H778" s="28"/>
      <c r="I778" s="5"/>
      <c r="J778" s="5"/>
      <c r="M778" s="28"/>
      <c r="O778" s="25"/>
      <c r="P778" s="25"/>
      <c r="Q778" s="25"/>
      <c r="R778" s="10"/>
      <c r="S778" s="10"/>
      <c r="T778" s="14"/>
    </row>
    <row r="779">
      <c r="A779" s="37"/>
      <c r="B779" s="5"/>
      <c r="C779" s="5"/>
      <c r="D779" s="5"/>
      <c r="E779" s="9"/>
      <c r="F779" s="5"/>
      <c r="H779" s="28"/>
      <c r="I779" s="5"/>
      <c r="J779" s="5"/>
      <c r="M779" s="28"/>
      <c r="O779" s="25"/>
      <c r="P779" s="25"/>
      <c r="Q779" s="25"/>
      <c r="R779" s="10"/>
      <c r="S779" s="10"/>
      <c r="T779" s="14"/>
    </row>
    <row r="780">
      <c r="A780" s="37"/>
      <c r="B780" s="5"/>
      <c r="C780" s="5"/>
      <c r="D780" s="5"/>
      <c r="E780" s="9"/>
      <c r="F780" s="5"/>
      <c r="H780" s="28"/>
      <c r="I780" s="5"/>
      <c r="J780" s="5"/>
      <c r="M780" s="28"/>
      <c r="O780" s="25"/>
      <c r="P780" s="25"/>
      <c r="Q780" s="25"/>
      <c r="R780" s="10"/>
      <c r="S780" s="10"/>
      <c r="T780" s="14"/>
    </row>
    <row r="781">
      <c r="A781" s="37"/>
      <c r="B781" s="5"/>
      <c r="C781" s="5"/>
      <c r="D781" s="5"/>
      <c r="E781" s="9"/>
      <c r="F781" s="5"/>
      <c r="H781" s="28"/>
      <c r="I781" s="5"/>
      <c r="J781" s="5"/>
      <c r="M781" s="28"/>
      <c r="O781" s="25"/>
      <c r="P781" s="25"/>
      <c r="Q781" s="25"/>
      <c r="R781" s="10"/>
      <c r="S781" s="10"/>
      <c r="T781" s="14"/>
    </row>
    <row r="782">
      <c r="A782" s="37"/>
      <c r="B782" s="5"/>
      <c r="C782" s="5"/>
      <c r="D782" s="5"/>
      <c r="E782" s="9"/>
      <c r="F782" s="5"/>
      <c r="H782" s="28"/>
      <c r="I782" s="5"/>
      <c r="J782" s="5"/>
      <c r="M782" s="28"/>
      <c r="O782" s="25"/>
      <c r="P782" s="25"/>
      <c r="Q782" s="25"/>
      <c r="R782" s="10"/>
      <c r="S782" s="10"/>
      <c r="T782" s="14"/>
    </row>
    <row r="783">
      <c r="A783" s="37"/>
      <c r="B783" s="5"/>
      <c r="C783" s="5"/>
      <c r="D783" s="5"/>
      <c r="E783" s="9"/>
      <c r="F783" s="5"/>
      <c r="H783" s="28"/>
      <c r="I783" s="5"/>
      <c r="J783" s="5"/>
      <c r="M783" s="28"/>
      <c r="O783" s="25"/>
      <c r="P783" s="25"/>
      <c r="Q783" s="25"/>
      <c r="R783" s="10"/>
      <c r="S783" s="10"/>
      <c r="T783" s="14"/>
    </row>
    <row r="784">
      <c r="A784" s="37"/>
      <c r="B784" s="5"/>
      <c r="C784" s="5"/>
      <c r="D784" s="5"/>
      <c r="E784" s="9"/>
      <c r="F784" s="5"/>
      <c r="H784" s="28"/>
      <c r="I784" s="5"/>
      <c r="J784" s="5"/>
      <c r="M784" s="28"/>
      <c r="O784" s="25"/>
      <c r="P784" s="25"/>
      <c r="Q784" s="25"/>
      <c r="R784" s="10"/>
      <c r="S784" s="10"/>
      <c r="T784" s="14"/>
    </row>
    <row r="785">
      <c r="A785" s="37"/>
      <c r="B785" s="5"/>
      <c r="C785" s="5"/>
      <c r="D785" s="5"/>
      <c r="E785" s="9"/>
      <c r="F785" s="5"/>
      <c r="H785" s="28"/>
      <c r="I785" s="5"/>
      <c r="J785" s="5"/>
      <c r="M785" s="28"/>
      <c r="O785" s="25"/>
      <c r="P785" s="25"/>
      <c r="Q785" s="25"/>
      <c r="R785" s="10"/>
      <c r="S785" s="10"/>
      <c r="T785" s="14"/>
    </row>
    <row r="786">
      <c r="A786" s="37"/>
      <c r="B786" s="5"/>
      <c r="C786" s="5"/>
      <c r="D786" s="5"/>
      <c r="E786" s="9"/>
      <c r="F786" s="5"/>
      <c r="H786" s="28"/>
      <c r="I786" s="5"/>
      <c r="J786" s="5"/>
      <c r="M786" s="28"/>
      <c r="O786" s="25"/>
      <c r="P786" s="25"/>
      <c r="Q786" s="25"/>
      <c r="R786" s="10"/>
      <c r="S786" s="10"/>
      <c r="T786" s="14"/>
    </row>
    <row r="787">
      <c r="A787" s="37"/>
      <c r="B787" s="5"/>
      <c r="C787" s="5"/>
      <c r="D787" s="5"/>
      <c r="E787" s="9"/>
      <c r="F787" s="5"/>
      <c r="H787" s="28"/>
      <c r="I787" s="5"/>
      <c r="J787" s="5"/>
      <c r="M787" s="28"/>
      <c r="O787" s="25"/>
      <c r="P787" s="25"/>
      <c r="Q787" s="25"/>
      <c r="R787" s="10"/>
      <c r="S787" s="10"/>
      <c r="T787" s="14"/>
    </row>
    <row r="788">
      <c r="A788" s="37"/>
      <c r="B788" s="5"/>
      <c r="C788" s="5"/>
      <c r="D788" s="5"/>
      <c r="E788" s="9"/>
      <c r="F788" s="5"/>
      <c r="H788" s="28"/>
      <c r="I788" s="5"/>
      <c r="J788" s="5"/>
      <c r="M788" s="28"/>
      <c r="O788" s="25"/>
      <c r="P788" s="25"/>
      <c r="Q788" s="25"/>
      <c r="R788" s="10"/>
      <c r="S788" s="10"/>
      <c r="T788" s="14"/>
    </row>
    <row r="789">
      <c r="A789" s="37"/>
      <c r="B789" s="5"/>
      <c r="C789" s="5"/>
      <c r="D789" s="5"/>
      <c r="E789" s="9"/>
      <c r="F789" s="5"/>
      <c r="H789" s="28"/>
      <c r="I789" s="5"/>
      <c r="J789" s="5"/>
      <c r="M789" s="28"/>
      <c r="O789" s="25"/>
      <c r="P789" s="25"/>
      <c r="Q789" s="25"/>
      <c r="R789" s="10"/>
      <c r="S789" s="10"/>
      <c r="T789" s="14"/>
    </row>
    <row r="790">
      <c r="A790" s="37"/>
      <c r="B790" s="5"/>
      <c r="C790" s="5"/>
      <c r="D790" s="5"/>
      <c r="E790" s="9"/>
      <c r="F790" s="5"/>
      <c r="H790" s="28"/>
      <c r="I790" s="5"/>
      <c r="J790" s="5"/>
      <c r="M790" s="28"/>
      <c r="O790" s="25"/>
      <c r="P790" s="25"/>
      <c r="Q790" s="25"/>
      <c r="R790" s="10"/>
      <c r="S790" s="10"/>
      <c r="T790" s="14"/>
    </row>
    <row r="791">
      <c r="A791" s="37"/>
      <c r="B791" s="5"/>
      <c r="C791" s="5"/>
      <c r="D791" s="5"/>
      <c r="E791" s="9"/>
      <c r="F791" s="5"/>
      <c r="H791" s="28"/>
      <c r="I791" s="5"/>
      <c r="J791" s="5"/>
      <c r="M791" s="28"/>
      <c r="O791" s="25"/>
      <c r="P791" s="25"/>
      <c r="Q791" s="25"/>
      <c r="R791" s="10"/>
      <c r="S791" s="10"/>
      <c r="T791" s="14"/>
    </row>
    <row r="792">
      <c r="A792" s="37"/>
      <c r="B792" s="5"/>
      <c r="C792" s="5"/>
      <c r="D792" s="5"/>
      <c r="E792" s="9"/>
      <c r="F792" s="5"/>
      <c r="H792" s="28"/>
      <c r="I792" s="5"/>
      <c r="J792" s="5"/>
      <c r="M792" s="28"/>
      <c r="O792" s="25"/>
      <c r="P792" s="25"/>
      <c r="Q792" s="25"/>
      <c r="R792" s="10"/>
      <c r="S792" s="10"/>
      <c r="T792" s="14"/>
    </row>
    <row r="793">
      <c r="A793" s="37"/>
      <c r="B793" s="5"/>
      <c r="C793" s="5"/>
      <c r="D793" s="5"/>
      <c r="E793" s="9"/>
      <c r="F793" s="5"/>
      <c r="H793" s="28"/>
      <c r="I793" s="5"/>
      <c r="J793" s="5"/>
      <c r="M793" s="28"/>
      <c r="O793" s="25"/>
      <c r="P793" s="25"/>
      <c r="Q793" s="25"/>
      <c r="R793" s="10"/>
      <c r="S793" s="10"/>
      <c r="T793" s="14"/>
    </row>
    <row r="794">
      <c r="A794" s="37"/>
      <c r="B794" s="5"/>
      <c r="C794" s="5"/>
      <c r="D794" s="5"/>
      <c r="E794" s="9"/>
      <c r="F794" s="5"/>
      <c r="H794" s="28"/>
      <c r="I794" s="5"/>
      <c r="J794" s="5"/>
      <c r="M794" s="28"/>
      <c r="O794" s="25"/>
      <c r="P794" s="25"/>
      <c r="Q794" s="25"/>
      <c r="R794" s="10"/>
      <c r="S794" s="10"/>
      <c r="T794" s="14"/>
    </row>
    <row r="795">
      <c r="A795" s="37"/>
      <c r="B795" s="5"/>
      <c r="C795" s="5"/>
      <c r="D795" s="5"/>
      <c r="E795" s="9"/>
      <c r="F795" s="5"/>
      <c r="H795" s="28"/>
      <c r="I795" s="5"/>
      <c r="J795" s="5"/>
      <c r="M795" s="28"/>
      <c r="O795" s="25"/>
      <c r="P795" s="25"/>
      <c r="Q795" s="25"/>
      <c r="R795" s="10"/>
      <c r="S795" s="10"/>
      <c r="T795" s="14"/>
    </row>
    <row r="796">
      <c r="A796" s="37"/>
      <c r="B796" s="5"/>
      <c r="C796" s="5"/>
      <c r="D796" s="5"/>
      <c r="E796" s="9"/>
      <c r="F796" s="5"/>
      <c r="H796" s="28"/>
      <c r="I796" s="5"/>
      <c r="J796" s="5"/>
      <c r="M796" s="28"/>
      <c r="O796" s="25"/>
      <c r="P796" s="25"/>
      <c r="Q796" s="25"/>
      <c r="R796" s="10"/>
      <c r="S796" s="10"/>
      <c r="T796" s="14"/>
    </row>
    <row r="797">
      <c r="A797" s="37"/>
      <c r="B797" s="5"/>
      <c r="C797" s="5"/>
      <c r="D797" s="5"/>
      <c r="E797" s="9"/>
      <c r="F797" s="5"/>
      <c r="H797" s="28"/>
      <c r="I797" s="5"/>
      <c r="J797" s="5"/>
      <c r="M797" s="28"/>
      <c r="O797" s="25"/>
      <c r="P797" s="25"/>
      <c r="Q797" s="25"/>
      <c r="R797" s="10"/>
      <c r="S797" s="10"/>
      <c r="T797" s="14"/>
    </row>
    <row r="798">
      <c r="A798" s="37"/>
      <c r="B798" s="5"/>
      <c r="C798" s="5"/>
      <c r="D798" s="5"/>
      <c r="E798" s="9"/>
      <c r="F798" s="5"/>
      <c r="H798" s="28"/>
      <c r="I798" s="5"/>
      <c r="J798" s="5"/>
      <c r="M798" s="28"/>
      <c r="O798" s="25"/>
      <c r="P798" s="25"/>
      <c r="Q798" s="25"/>
      <c r="R798" s="10"/>
      <c r="S798" s="10"/>
      <c r="T798" s="14"/>
    </row>
    <row r="799">
      <c r="A799" s="37"/>
      <c r="B799" s="5"/>
      <c r="C799" s="5"/>
      <c r="D799" s="5"/>
      <c r="E799" s="9"/>
      <c r="F799" s="5"/>
      <c r="H799" s="28"/>
      <c r="I799" s="5"/>
      <c r="J799" s="5"/>
      <c r="M799" s="28"/>
      <c r="O799" s="25"/>
      <c r="P799" s="25"/>
      <c r="Q799" s="25"/>
      <c r="R799" s="10"/>
      <c r="S799" s="10"/>
      <c r="T799" s="14"/>
    </row>
    <row r="800">
      <c r="A800" s="37"/>
      <c r="B800" s="5"/>
      <c r="C800" s="5"/>
      <c r="D800" s="5"/>
      <c r="E800" s="9"/>
      <c r="F800" s="5"/>
      <c r="H800" s="28"/>
      <c r="I800" s="5"/>
      <c r="J800" s="5"/>
      <c r="M800" s="28"/>
      <c r="O800" s="25"/>
      <c r="P800" s="25"/>
      <c r="Q800" s="25"/>
      <c r="R800" s="10"/>
      <c r="S800" s="10"/>
      <c r="T800" s="14"/>
    </row>
    <row r="801">
      <c r="A801" s="37"/>
      <c r="B801" s="5"/>
      <c r="C801" s="5"/>
      <c r="D801" s="5"/>
      <c r="E801" s="9"/>
      <c r="F801" s="5"/>
      <c r="H801" s="28"/>
      <c r="I801" s="5"/>
      <c r="J801" s="5"/>
      <c r="M801" s="28"/>
      <c r="O801" s="25"/>
      <c r="P801" s="25"/>
      <c r="Q801" s="25"/>
      <c r="R801" s="10"/>
      <c r="S801" s="10"/>
      <c r="T801" s="14"/>
    </row>
    <row r="802">
      <c r="A802" s="37"/>
      <c r="B802" s="5"/>
      <c r="C802" s="5"/>
      <c r="D802" s="5"/>
      <c r="E802" s="9"/>
      <c r="F802" s="5"/>
      <c r="H802" s="28"/>
      <c r="I802" s="5"/>
      <c r="J802" s="5"/>
      <c r="M802" s="28"/>
      <c r="O802" s="25"/>
      <c r="P802" s="25"/>
      <c r="Q802" s="25"/>
      <c r="R802" s="10"/>
      <c r="S802" s="10"/>
      <c r="T802" s="14"/>
    </row>
    <row r="803">
      <c r="A803" s="37"/>
      <c r="B803" s="5"/>
      <c r="C803" s="5"/>
      <c r="D803" s="5"/>
      <c r="E803" s="9"/>
      <c r="F803" s="5"/>
      <c r="H803" s="28"/>
      <c r="I803" s="5"/>
      <c r="J803" s="5"/>
      <c r="M803" s="28"/>
      <c r="O803" s="25"/>
      <c r="P803" s="25"/>
      <c r="Q803" s="25"/>
      <c r="R803" s="10"/>
      <c r="S803" s="10"/>
      <c r="T803" s="14"/>
    </row>
    <row r="804">
      <c r="A804" s="37"/>
      <c r="B804" s="5"/>
      <c r="C804" s="5"/>
      <c r="D804" s="5"/>
      <c r="E804" s="9"/>
      <c r="F804" s="5"/>
      <c r="H804" s="28"/>
      <c r="I804" s="5"/>
      <c r="J804" s="5"/>
      <c r="M804" s="28"/>
      <c r="O804" s="25"/>
      <c r="P804" s="25"/>
      <c r="Q804" s="25"/>
      <c r="R804" s="10"/>
      <c r="S804" s="10"/>
      <c r="T804" s="14"/>
    </row>
    <row r="805">
      <c r="A805" s="37"/>
      <c r="B805" s="5"/>
      <c r="C805" s="5"/>
      <c r="D805" s="5"/>
      <c r="E805" s="9"/>
      <c r="F805" s="5"/>
      <c r="H805" s="28"/>
      <c r="I805" s="5"/>
      <c r="J805" s="5"/>
      <c r="M805" s="28"/>
      <c r="O805" s="25"/>
      <c r="P805" s="25"/>
      <c r="Q805" s="25"/>
      <c r="R805" s="10"/>
      <c r="S805" s="10"/>
      <c r="T805" s="14"/>
    </row>
    <row r="806">
      <c r="A806" s="37"/>
      <c r="B806" s="5"/>
      <c r="C806" s="5"/>
      <c r="D806" s="5"/>
      <c r="E806" s="9"/>
      <c r="F806" s="5"/>
      <c r="H806" s="28"/>
      <c r="I806" s="5"/>
      <c r="J806" s="5"/>
      <c r="M806" s="28"/>
      <c r="O806" s="25"/>
      <c r="P806" s="25"/>
      <c r="Q806" s="25"/>
      <c r="R806" s="10"/>
      <c r="S806" s="10"/>
      <c r="T806" s="14"/>
    </row>
    <row r="807">
      <c r="A807" s="37"/>
      <c r="B807" s="5"/>
      <c r="C807" s="5"/>
      <c r="D807" s="5"/>
      <c r="E807" s="9"/>
      <c r="F807" s="5"/>
      <c r="H807" s="28"/>
      <c r="I807" s="5"/>
      <c r="J807" s="5"/>
      <c r="M807" s="28"/>
      <c r="O807" s="25"/>
      <c r="P807" s="25"/>
      <c r="Q807" s="25"/>
      <c r="R807" s="10"/>
      <c r="S807" s="10"/>
      <c r="T807" s="14"/>
    </row>
    <row r="808">
      <c r="A808" s="37"/>
      <c r="B808" s="5"/>
      <c r="C808" s="5"/>
      <c r="D808" s="5"/>
      <c r="E808" s="9"/>
      <c r="F808" s="5"/>
      <c r="H808" s="28"/>
      <c r="I808" s="5"/>
      <c r="J808" s="5"/>
      <c r="M808" s="28"/>
      <c r="O808" s="25"/>
      <c r="P808" s="25"/>
      <c r="Q808" s="25"/>
      <c r="R808" s="10"/>
      <c r="S808" s="10"/>
      <c r="T808" s="14"/>
    </row>
    <row r="809">
      <c r="A809" s="37"/>
      <c r="B809" s="5"/>
      <c r="C809" s="5"/>
      <c r="D809" s="5"/>
      <c r="E809" s="9"/>
      <c r="F809" s="5"/>
      <c r="H809" s="28"/>
      <c r="I809" s="5"/>
      <c r="J809" s="5"/>
      <c r="M809" s="28"/>
      <c r="O809" s="25"/>
      <c r="P809" s="25"/>
      <c r="Q809" s="25"/>
      <c r="R809" s="10"/>
      <c r="S809" s="10"/>
      <c r="T809" s="14"/>
    </row>
    <row r="810">
      <c r="A810" s="37"/>
      <c r="B810" s="5"/>
      <c r="C810" s="5"/>
      <c r="D810" s="5"/>
      <c r="E810" s="9"/>
      <c r="F810" s="5"/>
      <c r="H810" s="28"/>
      <c r="I810" s="5"/>
      <c r="J810" s="5"/>
      <c r="M810" s="28"/>
      <c r="O810" s="25"/>
      <c r="P810" s="25"/>
      <c r="Q810" s="25"/>
      <c r="R810" s="10"/>
      <c r="S810" s="10"/>
      <c r="T810" s="14"/>
    </row>
    <row r="811">
      <c r="A811" s="37"/>
      <c r="B811" s="5"/>
      <c r="C811" s="5"/>
      <c r="D811" s="5"/>
      <c r="E811" s="9"/>
      <c r="F811" s="5"/>
      <c r="H811" s="28"/>
      <c r="I811" s="5"/>
      <c r="J811" s="5"/>
      <c r="M811" s="28"/>
      <c r="O811" s="25"/>
      <c r="P811" s="25"/>
      <c r="Q811" s="25"/>
      <c r="R811" s="10"/>
      <c r="S811" s="10"/>
      <c r="T811" s="14"/>
    </row>
    <row r="812">
      <c r="A812" s="37"/>
      <c r="B812" s="5"/>
      <c r="C812" s="5"/>
      <c r="D812" s="5"/>
      <c r="E812" s="9"/>
      <c r="F812" s="5"/>
      <c r="H812" s="28"/>
      <c r="I812" s="5"/>
      <c r="J812" s="5"/>
      <c r="M812" s="28"/>
      <c r="O812" s="25"/>
      <c r="P812" s="25"/>
      <c r="Q812" s="25"/>
      <c r="R812" s="10"/>
      <c r="S812" s="10"/>
      <c r="T812" s="14"/>
    </row>
    <row r="813">
      <c r="A813" s="37"/>
      <c r="B813" s="5"/>
      <c r="C813" s="5"/>
      <c r="D813" s="5"/>
      <c r="E813" s="9"/>
      <c r="F813" s="5"/>
      <c r="H813" s="28"/>
      <c r="I813" s="5"/>
      <c r="J813" s="5"/>
      <c r="M813" s="28"/>
      <c r="O813" s="25"/>
      <c r="P813" s="25"/>
      <c r="Q813" s="25"/>
      <c r="R813" s="10"/>
      <c r="S813" s="10"/>
      <c r="T813" s="14"/>
    </row>
    <row r="814">
      <c r="A814" s="37"/>
      <c r="B814" s="5"/>
      <c r="C814" s="5"/>
      <c r="D814" s="5"/>
      <c r="E814" s="9"/>
      <c r="F814" s="5"/>
      <c r="H814" s="28"/>
      <c r="I814" s="5"/>
      <c r="J814" s="5"/>
      <c r="M814" s="28"/>
      <c r="O814" s="25"/>
      <c r="P814" s="25"/>
      <c r="Q814" s="25"/>
      <c r="R814" s="10"/>
      <c r="S814" s="10"/>
      <c r="T814" s="14"/>
    </row>
    <row r="815">
      <c r="A815" s="37"/>
      <c r="B815" s="5"/>
      <c r="C815" s="5"/>
      <c r="D815" s="5"/>
      <c r="E815" s="9"/>
      <c r="F815" s="5"/>
      <c r="H815" s="28"/>
      <c r="I815" s="5"/>
      <c r="J815" s="5"/>
      <c r="M815" s="28"/>
      <c r="O815" s="25"/>
      <c r="P815" s="25"/>
      <c r="Q815" s="25"/>
      <c r="R815" s="10"/>
      <c r="S815" s="10"/>
      <c r="T815" s="14"/>
    </row>
    <row r="816">
      <c r="A816" s="37"/>
      <c r="B816" s="5"/>
      <c r="C816" s="5"/>
      <c r="D816" s="5"/>
      <c r="E816" s="9"/>
      <c r="F816" s="5"/>
      <c r="H816" s="28"/>
      <c r="I816" s="5"/>
      <c r="J816" s="5"/>
      <c r="M816" s="28"/>
      <c r="O816" s="25"/>
      <c r="P816" s="25"/>
      <c r="Q816" s="25"/>
      <c r="R816" s="10"/>
      <c r="S816" s="10"/>
      <c r="T816" s="14"/>
    </row>
    <row r="817">
      <c r="A817" s="37"/>
      <c r="B817" s="5"/>
      <c r="C817" s="5"/>
      <c r="D817" s="5"/>
      <c r="E817" s="9"/>
      <c r="F817" s="5"/>
      <c r="H817" s="28"/>
      <c r="I817" s="5"/>
      <c r="J817" s="5"/>
      <c r="M817" s="28"/>
      <c r="O817" s="25"/>
      <c r="P817" s="25"/>
      <c r="Q817" s="25"/>
      <c r="R817" s="10"/>
      <c r="S817" s="10"/>
      <c r="T817" s="14"/>
    </row>
    <row r="818">
      <c r="A818" s="37"/>
      <c r="B818" s="5"/>
      <c r="C818" s="5"/>
      <c r="D818" s="5"/>
      <c r="E818" s="9"/>
      <c r="F818" s="5"/>
      <c r="H818" s="28"/>
      <c r="I818" s="5"/>
      <c r="J818" s="5"/>
      <c r="M818" s="28"/>
      <c r="O818" s="25"/>
      <c r="P818" s="25"/>
      <c r="Q818" s="25"/>
      <c r="R818" s="10"/>
      <c r="S818" s="10"/>
      <c r="T818" s="14"/>
    </row>
    <row r="819">
      <c r="A819" s="37"/>
      <c r="B819" s="5"/>
      <c r="C819" s="5"/>
      <c r="D819" s="5"/>
      <c r="E819" s="9"/>
      <c r="F819" s="5"/>
      <c r="H819" s="28"/>
      <c r="I819" s="5"/>
      <c r="J819" s="5"/>
      <c r="M819" s="28"/>
      <c r="O819" s="25"/>
      <c r="P819" s="25"/>
      <c r="Q819" s="25"/>
      <c r="R819" s="10"/>
      <c r="S819" s="10"/>
      <c r="T819" s="14"/>
    </row>
    <row r="820">
      <c r="A820" s="37"/>
      <c r="B820" s="5"/>
      <c r="C820" s="5"/>
      <c r="D820" s="5"/>
      <c r="E820" s="9"/>
      <c r="F820" s="5"/>
      <c r="H820" s="28"/>
      <c r="I820" s="5"/>
      <c r="J820" s="5"/>
      <c r="M820" s="28"/>
      <c r="O820" s="25"/>
      <c r="P820" s="25"/>
      <c r="Q820" s="25"/>
      <c r="R820" s="10"/>
      <c r="S820" s="10"/>
      <c r="T820" s="14"/>
    </row>
    <row r="821">
      <c r="A821" s="37"/>
      <c r="B821" s="5"/>
      <c r="C821" s="5"/>
      <c r="D821" s="5"/>
      <c r="E821" s="9"/>
      <c r="F821" s="5"/>
      <c r="H821" s="28"/>
      <c r="I821" s="5"/>
      <c r="J821" s="5"/>
      <c r="M821" s="28"/>
      <c r="O821" s="25"/>
      <c r="P821" s="25"/>
      <c r="Q821" s="25"/>
      <c r="R821" s="10"/>
      <c r="S821" s="10"/>
      <c r="T821" s="14"/>
    </row>
    <row r="822">
      <c r="A822" s="37"/>
      <c r="B822" s="5"/>
      <c r="C822" s="5"/>
      <c r="D822" s="5"/>
      <c r="E822" s="9"/>
      <c r="F822" s="5"/>
      <c r="H822" s="28"/>
      <c r="I822" s="5"/>
      <c r="J822" s="5"/>
      <c r="M822" s="28"/>
      <c r="O822" s="25"/>
      <c r="P822" s="25"/>
      <c r="Q822" s="25"/>
      <c r="R822" s="10"/>
      <c r="S822" s="10"/>
      <c r="T822" s="14"/>
    </row>
    <row r="823">
      <c r="A823" s="37"/>
      <c r="B823" s="5"/>
      <c r="C823" s="5"/>
      <c r="D823" s="5"/>
      <c r="E823" s="9"/>
      <c r="F823" s="5"/>
      <c r="H823" s="28"/>
      <c r="I823" s="5"/>
      <c r="J823" s="5"/>
      <c r="M823" s="28"/>
      <c r="O823" s="25"/>
      <c r="P823" s="25"/>
      <c r="Q823" s="25"/>
      <c r="R823" s="10"/>
      <c r="S823" s="10"/>
      <c r="T823" s="14"/>
    </row>
    <row r="824">
      <c r="A824" s="37"/>
      <c r="B824" s="5"/>
      <c r="C824" s="5"/>
      <c r="D824" s="5"/>
      <c r="E824" s="9"/>
      <c r="F824" s="5"/>
      <c r="H824" s="28"/>
      <c r="I824" s="5"/>
      <c r="J824" s="5"/>
      <c r="M824" s="28"/>
      <c r="O824" s="25"/>
      <c r="P824" s="25"/>
      <c r="Q824" s="25"/>
      <c r="R824" s="10"/>
      <c r="S824" s="10"/>
      <c r="T824" s="14"/>
    </row>
    <row r="825">
      <c r="A825" s="37"/>
      <c r="B825" s="5"/>
      <c r="C825" s="5"/>
      <c r="D825" s="5"/>
      <c r="E825" s="9"/>
      <c r="F825" s="5"/>
      <c r="H825" s="28"/>
      <c r="I825" s="5"/>
      <c r="J825" s="5"/>
      <c r="M825" s="28"/>
      <c r="O825" s="25"/>
      <c r="P825" s="25"/>
      <c r="Q825" s="25"/>
      <c r="R825" s="10"/>
      <c r="S825" s="10"/>
      <c r="T825" s="14"/>
    </row>
    <row r="826">
      <c r="A826" s="37"/>
      <c r="B826" s="5"/>
      <c r="C826" s="5"/>
      <c r="D826" s="5"/>
      <c r="E826" s="9"/>
      <c r="F826" s="5"/>
      <c r="H826" s="28"/>
      <c r="I826" s="5"/>
      <c r="J826" s="5"/>
      <c r="M826" s="28"/>
      <c r="O826" s="25"/>
      <c r="P826" s="25"/>
      <c r="Q826" s="25"/>
      <c r="R826" s="10"/>
      <c r="S826" s="10"/>
      <c r="T826" s="14"/>
    </row>
    <row r="827">
      <c r="A827" s="37"/>
      <c r="B827" s="5"/>
      <c r="C827" s="5"/>
      <c r="D827" s="5"/>
      <c r="E827" s="9"/>
      <c r="F827" s="5"/>
      <c r="H827" s="28"/>
      <c r="I827" s="5"/>
      <c r="J827" s="5"/>
      <c r="M827" s="28"/>
      <c r="O827" s="25"/>
      <c r="P827" s="25"/>
      <c r="Q827" s="25"/>
      <c r="R827" s="10"/>
      <c r="S827" s="10"/>
      <c r="T827" s="14"/>
    </row>
    <row r="828">
      <c r="A828" s="37"/>
      <c r="B828" s="5"/>
      <c r="C828" s="5"/>
      <c r="D828" s="5"/>
      <c r="E828" s="9"/>
      <c r="F828" s="5"/>
      <c r="H828" s="28"/>
      <c r="I828" s="5"/>
      <c r="J828" s="5"/>
      <c r="M828" s="28"/>
      <c r="O828" s="25"/>
      <c r="P828" s="25"/>
      <c r="Q828" s="25"/>
      <c r="R828" s="10"/>
      <c r="S828" s="10"/>
      <c r="T828" s="14"/>
    </row>
    <row r="829">
      <c r="A829" s="37"/>
      <c r="B829" s="5"/>
      <c r="C829" s="5"/>
      <c r="D829" s="5"/>
      <c r="E829" s="9"/>
      <c r="F829" s="5"/>
      <c r="H829" s="28"/>
      <c r="I829" s="5"/>
      <c r="J829" s="5"/>
      <c r="M829" s="28"/>
      <c r="O829" s="25"/>
      <c r="P829" s="25"/>
      <c r="Q829" s="25"/>
      <c r="R829" s="10"/>
      <c r="S829" s="10"/>
      <c r="T829" s="14"/>
    </row>
    <row r="830">
      <c r="A830" s="37"/>
      <c r="B830" s="5"/>
      <c r="C830" s="5"/>
      <c r="D830" s="5"/>
      <c r="E830" s="9"/>
      <c r="F830" s="5"/>
      <c r="H830" s="28"/>
      <c r="I830" s="5"/>
      <c r="J830" s="5"/>
      <c r="M830" s="28"/>
      <c r="O830" s="25"/>
      <c r="P830" s="25"/>
      <c r="Q830" s="25"/>
      <c r="R830" s="10"/>
      <c r="S830" s="10"/>
      <c r="T830" s="14"/>
    </row>
    <row r="831">
      <c r="A831" s="37"/>
      <c r="B831" s="5"/>
      <c r="C831" s="5"/>
      <c r="D831" s="5"/>
      <c r="E831" s="9"/>
      <c r="F831" s="5"/>
      <c r="H831" s="28"/>
      <c r="I831" s="5"/>
      <c r="J831" s="5"/>
      <c r="M831" s="28"/>
      <c r="O831" s="25"/>
      <c r="P831" s="25"/>
      <c r="Q831" s="25"/>
      <c r="R831" s="10"/>
      <c r="S831" s="10"/>
      <c r="T831" s="14"/>
    </row>
    <row r="832">
      <c r="A832" s="37"/>
      <c r="B832" s="5"/>
      <c r="C832" s="5"/>
      <c r="D832" s="5"/>
      <c r="E832" s="9"/>
      <c r="F832" s="5"/>
      <c r="H832" s="28"/>
      <c r="I832" s="5"/>
      <c r="J832" s="5"/>
      <c r="M832" s="28"/>
      <c r="O832" s="25"/>
      <c r="P832" s="25"/>
      <c r="Q832" s="25"/>
      <c r="R832" s="10"/>
      <c r="S832" s="10"/>
      <c r="T832" s="14"/>
    </row>
    <row r="833">
      <c r="A833" s="37"/>
      <c r="B833" s="5"/>
      <c r="C833" s="5"/>
      <c r="D833" s="5"/>
      <c r="E833" s="9"/>
      <c r="F833" s="5"/>
      <c r="H833" s="28"/>
      <c r="I833" s="5"/>
      <c r="J833" s="5"/>
      <c r="M833" s="28"/>
      <c r="O833" s="25"/>
      <c r="P833" s="25"/>
      <c r="Q833" s="25"/>
      <c r="R833" s="10"/>
      <c r="S833" s="10"/>
      <c r="T833" s="14"/>
    </row>
    <row r="834">
      <c r="A834" s="37"/>
      <c r="B834" s="5"/>
      <c r="C834" s="5"/>
      <c r="D834" s="5"/>
      <c r="E834" s="9"/>
      <c r="F834" s="5"/>
      <c r="H834" s="28"/>
      <c r="I834" s="5"/>
      <c r="J834" s="5"/>
      <c r="M834" s="28"/>
      <c r="O834" s="25"/>
      <c r="P834" s="25"/>
      <c r="Q834" s="25"/>
      <c r="R834" s="10"/>
      <c r="S834" s="10"/>
      <c r="T834" s="14"/>
    </row>
    <row r="835">
      <c r="A835" s="37"/>
      <c r="B835" s="5"/>
      <c r="C835" s="5"/>
      <c r="D835" s="5"/>
      <c r="E835" s="9"/>
      <c r="F835" s="5"/>
      <c r="H835" s="28"/>
      <c r="I835" s="5"/>
      <c r="J835" s="5"/>
      <c r="M835" s="28"/>
      <c r="O835" s="25"/>
      <c r="P835" s="25"/>
      <c r="Q835" s="25"/>
      <c r="R835" s="10"/>
      <c r="S835" s="10"/>
      <c r="T835" s="14"/>
    </row>
    <row r="836">
      <c r="A836" s="37"/>
      <c r="B836" s="5"/>
      <c r="C836" s="5"/>
      <c r="D836" s="5"/>
      <c r="E836" s="9"/>
      <c r="F836" s="5"/>
      <c r="H836" s="28"/>
      <c r="I836" s="5"/>
      <c r="J836" s="5"/>
      <c r="M836" s="28"/>
      <c r="O836" s="25"/>
      <c r="P836" s="25"/>
      <c r="Q836" s="25"/>
      <c r="R836" s="10"/>
      <c r="S836" s="10"/>
      <c r="T836" s="14"/>
    </row>
    <row r="837">
      <c r="A837" s="37"/>
      <c r="B837" s="5"/>
      <c r="C837" s="5"/>
      <c r="D837" s="5"/>
      <c r="E837" s="9"/>
      <c r="F837" s="5"/>
      <c r="H837" s="28"/>
      <c r="I837" s="5"/>
      <c r="J837" s="5"/>
      <c r="M837" s="28"/>
      <c r="O837" s="25"/>
      <c r="P837" s="25"/>
      <c r="Q837" s="25"/>
      <c r="R837" s="10"/>
      <c r="S837" s="10"/>
      <c r="T837" s="14"/>
    </row>
    <row r="838">
      <c r="A838" s="37"/>
      <c r="B838" s="5"/>
      <c r="C838" s="5"/>
      <c r="D838" s="5"/>
      <c r="E838" s="9"/>
      <c r="F838" s="5"/>
      <c r="H838" s="28"/>
      <c r="I838" s="5"/>
      <c r="J838" s="5"/>
      <c r="M838" s="28"/>
      <c r="O838" s="25"/>
      <c r="P838" s="25"/>
      <c r="Q838" s="25"/>
      <c r="R838" s="10"/>
      <c r="S838" s="10"/>
      <c r="T838" s="14"/>
    </row>
    <row r="839">
      <c r="A839" s="37"/>
      <c r="B839" s="5"/>
      <c r="C839" s="5"/>
      <c r="D839" s="5"/>
      <c r="E839" s="9"/>
      <c r="F839" s="5"/>
      <c r="H839" s="28"/>
      <c r="I839" s="5"/>
      <c r="J839" s="5"/>
      <c r="M839" s="28"/>
      <c r="O839" s="25"/>
      <c r="P839" s="25"/>
      <c r="Q839" s="25"/>
      <c r="R839" s="10"/>
      <c r="S839" s="10"/>
      <c r="T839" s="14"/>
    </row>
    <row r="840">
      <c r="A840" s="37"/>
      <c r="B840" s="5"/>
      <c r="C840" s="5"/>
      <c r="D840" s="5"/>
      <c r="E840" s="9"/>
      <c r="F840" s="5"/>
      <c r="H840" s="28"/>
      <c r="I840" s="5"/>
      <c r="J840" s="5"/>
      <c r="M840" s="28"/>
      <c r="O840" s="25"/>
      <c r="P840" s="25"/>
      <c r="Q840" s="25"/>
      <c r="R840" s="10"/>
      <c r="S840" s="10"/>
      <c r="T840" s="14"/>
    </row>
    <row r="841">
      <c r="A841" s="37"/>
      <c r="B841" s="5"/>
      <c r="C841" s="5"/>
      <c r="D841" s="5"/>
      <c r="E841" s="9"/>
      <c r="F841" s="5"/>
      <c r="H841" s="28"/>
      <c r="I841" s="5"/>
      <c r="J841" s="5"/>
      <c r="M841" s="28"/>
      <c r="O841" s="25"/>
      <c r="P841" s="25"/>
      <c r="Q841" s="25"/>
      <c r="R841" s="10"/>
      <c r="S841" s="10"/>
      <c r="T841" s="14"/>
    </row>
    <row r="842">
      <c r="A842" s="37"/>
      <c r="B842" s="5"/>
      <c r="C842" s="5"/>
      <c r="D842" s="5"/>
      <c r="E842" s="9"/>
      <c r="F842" s="5"/>
      <c r="H842" s="28"/>
      <c r="I842" s="5"/>
      <c r="J842" s="5"/>
      <c r="M842" s="28"/>
      <c r="O842" s="25"/>
      <c r="P842" s="25"/>
      <c r="Q842" s="25"/>
      <c r="R842" s="10"/>
      <c r="S842" s="10"/>
      <c r="T842" s="14"/>
    </row>
    <row r="843">
      <c r="A843" s="37"/>
      <c r="B843" s="5"/>
      <c r="C843" s="5"/>
      <c r="D843" s="5"/>
      <c r="E843" s="9"/>
      <c r="F843" s="5"/>
      <c r="H843" s="28"/>
      <c r="I843" s="5"/>
      <c r="J843" s="5"/>
      <c r="M843" s="28"/>
      <c r="O843" s="25"/>
      <c r="P843" s="25"/>
      <c r="Q843" s="25"/>
      <c r="R843" s="10"/>
      <c r="S843" s="10"/>
      <c r="T843" s="14"/>
    </row>
    <row r="844">
      <c r="A844" s="37"/>
      <c r="B844" s="5"/>
      <c r="C844" s="5"/>
      <c r="D844" s="5"/>
      <c r="E844" s="9"/>
      <c r="F844" s="5"/>
      <c r="H844" s="28"/>
      <c r="I844" s="5"/>
      <c r="J844" s="5"/>
      <c r="M844" s="28"/>
      <c r="O844" s="25"/>
      <c r="P844" s="25"/>
      <c r="Q844" s="25"/>
      <c r="R844" s="10"/>
      <c r="S844" s="10"/>
      <c r="T844" s="14"/>
    </row>
    <row r="845">
      <c r="A845" s="37"/>
      <c r="B845" s="5"/>
      <c r="C845" s="5"/>
      <c r="D845" s="5"/>
      <c r="E845" s="9"/>
      <c r="F845" s="5"/>
      <c r="H845" s="28"/>
      <c r="I845" s="5"/>
      <c r="J845" s="5"/>
      <c r="M845" s="28"/>
      <c r="O845" s="25"/>
      <c r="P845" s="25"/>
      <c r="Q845" s="25"/>
      <c r="R845" s="10"/>
      <c r="S845" s="10"/>
      <c r="T845" s="14"/>
    </row>
    <row r="846">
      <c r="A846" s="37"/>
      <c r="B846" s="5"/>
      <c r="C846" s="5"/>
      <c r="D846" s="5"/>
      <c r="E846" s="9"/>
      <c r="F846" s="5"/>
      <c r="H846" s="28"/>
      <c r="I846" s="5"/>
      <c r="J846" s="5"/>
      <c r="M846" s="28"/>
      <c r="O846" s="25"/>
      <c r="P846" s="25"/>
      <c r="Q846" s="25"/>
      <c r="R846" s="10"/>
      <c r="S846" s="10"/>
      <c r="T846" s="14"/>
    </row>
    <row r="847">
      <c r="A847" s="37"/>
      <c r="B847" s="5"/>
      <c r="C847" s="5"/>
      <c r="D847" s="5"/>
      <c r="E847" s="9"/>
      <c r="F847" s="5"/>
      <c r="H847" s="28"/>
      <c r="I847" s="5"/>
      <c r="J847" s="5"/>
      <c r="M847" s="28"/>
      <c r="O847" s="25"/>
      <c r="P847" s="25"/>
      <c r="Q847" s="25"/>
      <c r="R847" s="10"/>
      <c r="S847" s="10"/>
      <c r="T847" s="14"/>
    </row>
    <row r="848">
      <c r="A848" s="37"/>
      <c r="B848" s="5"/>
      <c r="C848" s="5"/>
      <c r="D848" s="5"/>
      <c r="E848" s="9"/>
      <c r="F848" s="5"/>
      <c r="H848" s="28"/>
      <c r="I848" s="5"/>
      <c r="J848" s="5"/>
      <c r="M848" s="28"/>
      <c r="O848" s="25"/>
      <c r="P848" s="25"/>
      <c r="Q848" s="25"/>
      <c r="R848" s="10"/>
      <c r="S848" s="10"/>
      <c r="T848" s="14"/>
    </row>
    <row r="849">
      <c r="A849" s="37"/>
      <c r="B849" s="5"/>
      <c r="C849" s="5"/>
      <c r="D849" s="5"/>
      <c r="E849" s="9"/>
      <c r="F849" s="5"/>
      <c r="H849" s="28"/>
      <c r="I849" s="5"/>
      <c r="J849" s="5"/>
      <c r="M849" s="28"/>
      <c r="O849" s="25"/>
      <c r="P849" s="25"/>
      <c r="Q849" s="25"/>
      <c r="R849" s="10"/>
      <c r="S849" s="10"/>
      <c r="T849" s="14"/>
    </row>
    <row r="850">
      <c r="A850" s="37"/>
      <c r="B850" s="5"/>
      <c r="C850" s="5"/>
      <c r="D850" s="5"/>
      <c r="E850" s="9"/>
      <c r="F850" s="5"/>
      <c r="H850" s="28"/>
      <c r="I850" s="5"/>
      <c r="J850" s="5"/>
      <c r="M850" s="28"/>
      <c r="O850" s="25"/>
      <c r="P850" s="25"/>
      <c r="Q850" s="25"/>
      <c r="R850" s="10"/>
      <c r="S850" s="10"/>
      <c r="T850" s="14"/>
    </row>
    <row r="851">
      <c r="A851" s="37"/>
      <c r="B851" s="5"/>
      <c r="C851" s="5"/>
      <c r="D851" s="5"/>
      <c r="E851" s="9"/>
      <c r="F851" s="5"/>
      <c r="H851" s="28"/>
      <c r="I851" s="5"/>
      <c r="J851" s="5"/>
      <c r="M851" s="28"/>
      <c r="O851" s="25"/>
      <c r="P851" s="25"/>
      <c r="Q851" s="25"/>
      <c r="R851" s="10"/>
      <c r="S851" s="10"/>
      <c r="T851" s="14"/>
    </row>
    <row r="852">
      <c r="A852" s="37"/>
      <c r="B852" s="5"/>
      <c r="C852" s="5"/>
      <c r="D852" s="5"/>
      <c r="E852" s="9"/>
      <c r="F852" s="5"/>
      <c r="H852" s="28"/>
      <c r="I852" s="5"/>
      <c r="J852" s="5"/>
      <c r="M852" s="28"/>
      <c r="O852" s="25"/>
      <c r="P852" s="25"/>
      <c r="Q852" s="25"/>
      <c r="R852" s="10"/>
      <c r="S852" s="10"/>
      <c r="T852" s="14"/>
    </row>
    <row r="853">
      <c r="A853" s="37"/>
      <c r="B853" s="5"/>
      <c r="C853" s="5"/>
      <c r="D853" s="5"/>
      <c r="E853" s="9"/>
      <c r="F853" s="5"/>
      <c r="H853" s="28"/>
      <c r="I853" s="5"/>
      <c r="J853" s="5"/>
      <c r="M853" s="28"/>
      <c r="O853" s="25"/>
      <c r="P853" s="25"/>
      <c r="Q853" s="25"/>
      <c r="R853" s="10"/>
      <c r="S853" s="10"/>
      <c r="T853" s="14"/>
    </row>
    <row r="854">
      <c r="A854" s="37"/>
      <c r="B854" s="5"/>
      <c r="C854" s="5"/>
      <c r="D854" s="5"/>
      <c r="E854" s="9"/>
      <c r="F854" s="5"/>
      <c r="H854" s="28"/>
      <c r="I854" s="5"/>
      <c r="J854" s="5"/>
      <c r="M854" s="28"/>
      <c r="O854" s="25"/>
      <c r="P854" s="25"/>
      <c r="Q854" s="25"/>
      <c r="R854" s="10"/>
      <c r="S854" s="10"/>
      <c r="T854" s="14"/>
    </row>
    <row r="855">
      <c r="A855" s="37"/>
      <c r="B855" s="5"/>
      <c r="C855" s="5"/>
      <c r="D855" s="5"/>
      <c r="E855" s="9"/>
      <c r="F855" s="5"/>
      <c r="H855" s="28"/>
      <c r="I855" s="5"/>
      <c r="J855" s="5"/>
      <c r="M855" s="28"/>
      <c r="O855" s="25"/>
      <c r="P855" s="25"/>
      <c r="Q855" s="25"/>
      <c r="R855" s="10"/>
      <c r="S855" s="10"/>
      <c r="T855" s="14"/>
    </row>
    <row r="856">
      <c r="A856" s="37"/>
      <c r="B856" s="5"/>
      <c r="C856" s="5"/>
      <c r="D856" s="5"/>
      <c r="E856" s="9"/>
      <c r="F856" s="5"/>
      <c r="H856" s="28"/>
      <c r="I856" s="5"/>
      <c r="J856" s="5"/>
      <c r="M856" s="28"/>
      <c r="O856" s="25"/>
      <c r="P856" s="25"/>
      <c r="Q856" s="25"/>
      <c r="R856" s="10"/>
      <c r="S856" s="10"/>
      <c r="T856" s="14"/>
    </row>
    <row r="857">
      <c r="A857" s="37"/>
      <c r="B857" s="5"/>
      <c r="C857" s="5"/>
      <c r="D857" s="5"/>
      <c r="E857" s="9"/>
      <c r="F857" s="5"/>
      <c r="H857" s="28"/>
      <c r="I857" s="5"/>
      <c r="J857" s="5"/>
      <c r="M857" s="28"/>
      <c r="O857" s="25"/>
      <c r="P857" s="25"/>
      <c r="Q857" s="25"/>
      <c r="R857" s="10"/>
      <c r="S857" s="10"/>
      <c r="T857" s="14"/>
    </row>
    <row r="858">
      <c r="A858" s="37"/>
      <c r="B858" s="5"/>
      <c r="C858" s="5"/>
      <c r="D858" s="5"/>
      <c r="E858" s="9"/>
      <c r="F858" s="5"/>
      <c r="H858" s="28"/>
      <c r="I858" s="5"/>
      <c r="J858" s="5"/>
      <c r="M858" s="28"/>
      <c r="O858" s="25"/>
      <c r="P858" s="25"/>
      <c r="Q858" s="25"/>
      <c r="R858" s="10"/>
      <c r="S858" s="10"/>
      <c r="T858" s="14"/>
    </row>
    <row r="859">
      <c r="A859" s="37"/>
      <c r="B859" s="5"/>
      <c r="C859" s="5"/>
      <c r="D859" s="5"/>
      <c r="E859" s="9"/>
      <c r="F859" s="5"/>
      <c r="H859" s="28"/>
      <c r="I859" s="5"/>
      <c r="J859" s="5"/>
      <c r="M859" s="28"/>
      <c r="O859" s="25"/>
      <c r="P859" s="25"/>
      <c r="Q859" s="25"/>
      <c r="R859" s="10"/>
      <c r="S859" s="10"/>
      <c r="T859" s="14"/>
    </row>
    <row r="860">
      <c r="A860" s="37"/>
      <c r="B860" s="5"/>
      <c r="C860" s="5"/>
      <c r="D860" s="5"/>
      <c r="E860" s="9"/>
      <c r="F860" s="5"/>
      <c r="H860" s="28"/>
      <c r="I860" s="5"/>
      <c r="J860" s="5"/>
      <c r="M860" s="28"/>
      <c r="O860" s="25"/>
      <c r="P860" s="25"/>
      <c r="Q860" s="25"/>
      <c r="R860" s="10"/>
      <c r="S860" s="10"/>
      <c r="T860" s="14"/>
    </row>
    <row r="861">
      <c r="A861" s="37"/>
      <c r="B861" s="5"/>
      <c r="C861" s="5"/>
      <c r="D861" s="5"/>
      <c r="E861" s="9"/>
      <c r="F861" s="5"/>
      <c r="H861" s="28"/>
      <c r="I861" s="5"/>
      <c r="J861" s="5"/>
      <c r="M861" s="28"/>
      <c r="O861" s="25"/>
      <c r="P861" s="25"/>
      <c r="Q861" s="25"/>
      <c r="R861" s="10"/>
      <c r="S861" s="10"/>
      <c r="T861" s="14"/>
    </row>
    <row r="862">
      <c r="A862" s="37"/>
      <c r="B862" s="5"/>
      <c r="C862" s="5"/>
      <c r="D862" s="5"/>
      <c r="E862" s="9"/>
      <c r="F862" s="5"/>
      <c r="H862" s="28"/>
      <c r="I862" s="5"/>
      <c r="J862" s="5"/>
      <c r="M862" s="28"/>
      <c r="O862" s="25"/>
      <c r="P862" s="25"/>
      <c r="Q862" s="25"/>
      <c r="R862" s="10"/>
      <c r="S862" s="10"/>
      <c r="T862" s="14"/>
    </row>
    <row r="863">
      <c r="A863" s="37"/>
      <c r="B863" s="5"/>
      <c r="C863" s="5"/>
      <c r="D863" s="5"/>
      <c r="E863" s="9"/>
      <c r="F863" s="5"/>
      <c r="H863" s="28"/>
      <c r="I863" s="5"/>
      <c r="J863" s="5"/>
      <c r="M863" s="28"/>
      <c r="O863" s="25"/>
      <c r="P863" s="25"/>
      <c r="Q863" s="25"/>
      <c r="R863" s="10"/>
      <c r="S863" s="10"/>
      <c r="T863" s="14"/>
    </row>
    <row r="864">
      <c r="A864" s="37"/>
      <c r="B864" s="5"/>
      <c r="C864" s="5"/>
      <c r="D864" s="5"/>
      <c r="E864" s="9"/>
      <c r="F864" s="5"/>
      <c r="H864" s="28"/>
      <c r="I864" s="5"/>
      <c r="J864" s="5"/>
      <c r="M864" s="28"/>
      <c r="O864" s="25"/>
      <c r="P864" s="25"/>
      <c r="Q864" s="25"/>
      <c r="R864" s="10"/>
      <c r="S864" s="10"/>
      <c r="T864" s="14"/>
    </row>
    <row r="865">
      <c r="A865" s="37"/>
      <c r="B865" s="5"/>
      <c r="C865" s="5"/>
      <c r="D865" s="5"/>
      <c r="E865" s="9"/>
      <c r="F865" s="5"/>
      <c r="H865" s="28"/>
      <c r="I865" s="5"/>
      <c r="J865" s="5"/>
      <c r="M865" s="28"/>
      <c r="O865" s="25"/>
      <c r="P865" s="25"/>
      <c r="Q865" s="25"/>
      <c r="R865" s="10"/>
      <c r="S865" s="10"/>
      <c r="T865" s="14"/>
    </row>
    <row r="866">
      <c r="A866" s="37"/>
      <c r="B866" s="5"/>
      <c r="C866" s="5"/>
      <c r="D866" s="5"/>
      <c r="E866" s="9"/>
      <c r="F866" s="5"/>
      <c r="H866" s="28"/>
      <c r="I866" s="5"/>
      <c r="J866" s="5"/>
      <c r="M866" s="28"/>
      <c r="O866" s="25"/>
      <c r="P866" s="25"/>
      <c r="Q866" s="25"/>
      <c r="R866" s="10"/>
      <c r="S866" s="10"/>
      <c r="T866" s="14"/>
    </row>
    <row r="867">
      <c r="A867" s="37"/>
      <c r="B867" s="5"/>
      <c r="C867" s="5"/>
      <c r="D867" s="5"/>
      <c r="E867" s="9"/>
      <c r="F867" s="5"/>
      <c r="H867" s="28"/>
      <c r="I867" s="5"/>
      <c r="J867" s="5"/>
      <c r="M867" s="28"/>
      <c r="O867" s="25"/>
      <c r="P867" s="25"/>
      <c r="Q867" s="25"/>
      <c r="R867" s="10"/>
      <c r="S867" s="10"/>
      <c r="T867" s="14"/>
    </row>
    <row r="868">
      <c r="A868" s="37"/>
      <c r="B868" s="5"/>
      <c r="C868" s="5"/>
      <c r="D868" s="5"/>
      <c r="E868" s="9"/>
      <c r="F868" s="5"/>
      <c r="H868" s="28"/>
      <c r="I868" s="5"/>
      <c r="J868" s="5"/>
      <c r="M868" s="28"/>
      <c r="O868" s="25"/>
      <c r="P868" s="25"/>
      <c r="Q868" s="25"/>
      <c r="R868" s="10"/>
      <c r="S868" s="10"/>
      <c r="T868" s="14"/>
    </row>
    <row r="869">
      <c r="A869" s="37"/>
      <c r="B869" s="5"/>
      <c r="C869" s="5"/>
      <c r="D869" s="5"/>
      <c r="E869" s="9"/>
      <c r="F869" s="5"/>
      <c r="H869" s="28"/>
      <c r="I869" s="5"/>
      <c r="J869" s="5"/>
      <c r="M869" s="28"/>
      <c r="O869" s="25"/>
      <c r="P869" s="25"/>
      <c r="Q869" s="25"/>
      <c r="R869" s="10"/>
      <c r="S869" s="10"/>
      <c r="T869" s="14"/>
    </row>
    <row r="870">
      <c r="A870" s="37"/>
      <c r="B870" s="5"/>
      <c r="C870" s="5"/>
      <c r="D870" s="5"/>
      <c r="E870" s="9"/>
      <c r="F870" s="5"/>
      <c r="H870" s="28"/>
      <c r="I870" s="5"/>
      <c r="J870" s="5"/>
      <c r="M870" s="28"/>
      <c r="O870" s="25"/>
      <c r="P870" s="25"/>
      <c r="Q870" s="25"/>
      <c r="R870" s="10"/>
      <c r="S870" s="10"/>
      <c r="T870" s="14"/>
    </row>
    <row r="871">
      <c r="A871" s="37"/>
      <c r="B871" s="5"/>
      <c r="C871" s="5"/>
      <c r="D871" s="5"/>
      <c r="E871" s="9"/>
      <c r="F871" s="5"/>
      <c r="H871" s="28"/>
      <c r="I871" s="5"/>
      <c r="J871" s="5"/>
      <c r="M871" s="28"/>
      <c r="O871" s="25"/>
      <c r="P871" s="25"/>
      <c r="Q871" s="25"/>
      <c r="R871" s="10"/>
      <c r="S871" s="10"/>
      <c r="T871" s="14"/>
    </row>
    <row r="872">
      <c r="A872" s="37"/>
      <c r="B872" s="5"/>
      <c r="C872" s="5"/>
      <c r="D872" s="5"/>
      <c r="E872" s="9"/>
      <c r="F872" s="5"/>
      <c r="H872" s="28"/>
      <c r="I872" s="5"/>
      <c r="J872" s="5"/>
      <c r="M872" s="28"/>
      <c r="O872" s="25"/>
      <c r="P872" s="25"/>
      <c r="Q872" s="25"/>
      <c r="R872" s="10"/>
      <c r="S872" s="10"/>
      <c r="T872" s="14"/>
    </row>
    <row r="873">
      <c r="A873" s="37"/>
      <c r="B873" s="5"/>
      <c r="C873" s="5"/>
      <c r="D873" s="5"/>
      <c r="E873" s="9"/>
      <c r="F873" s="5"/>
      <c r="H873" s="28"/>
      <c r="I873" s="5"/>
      <c r="J873" s="5"/>
      <c r="M873" s="28"/>
      <c r="O873" s="25"/>
      <c r="P873" s="25"/>
      <c r="Q873" s="25"/>
      <c r="R873" s="10"/>
      <c r="S873" s="10"/>
      <c r="T873" s="14"/>
    </row>
    <row r="874">
      <c r="A874" s="37"/>
      <c r="B874" s="5"/>
      <c r="C874" s="5"/>
      <c r="D874" s="5"/>
      <c r="E874" s="9"/>
      <c r="F874" s="5"/>
      <c r="H874" s="28"/>
      <c r="I874" s="5"/>
      <c r="J874" s="5"/>
      <c r="M874" s="28"/>
      <c r="O874" s="25"/>
      <c r="P874" s="25"/>
      <c r="Q874" s="25"/>
      <c r="R874" s="10"/>
      <c r="S874" s="10"/>
      <c r="T874" s="14"/>
    </row>
    <row r="875">
      <c r="A875" s="37"/>
      <c r="B875" s="5"/>
      <c r="C875" s="5"/>
      <c r="D875" s="5"/>
      <c r="E875" s="9"/>
      <c r="F875" s="5"/>
      <c r="H875" s="28"/>
      <c r="I875" s="5"/>
      <c r="J875" s="5"/>
      <c r="M875" s="28"/>
      <c r="O875" s="25"/>
      <c r="P875" s="25"/>
      <c r="Q875" s="25"/>
      <c r="R875" s="10"/>
      <c r="S875" s="10"/>
      <c r="T875" s="14"/>
    </row>
    <row r="876">
      <c r="A876" s="37"/>
      <c r="B876" s="5"/>
      <c r="C876" s="5"/>
      <c r="D876" s="5"/>
      <c r="E876" s="9"/>
      <c r="F876" s="5"/>
      <c r="H876" s="28"/>
      <c r="I876" s="5"/>
      <c r="J876" s="5"/>
      <c r="M876" s="28"/>
      <c r="O876" s="25"/>
      <c r="P876" s="25"/>
      <c r="Q876" s="25"/>
      <c r="R876" s="10"/>
      <c r="S876" s="10"/>
      <c r="T876" s="14"/>
    </row>
    <row r="877">
      <c r="A877" s="37"/>
      <c r="B877" s="5"/>
      <c r="C877" s="5"/>
      <c r="D877" s="5"/>
      <c r="E877" s="9"/>
      <c r="F877" s="5"/>
      <c r="H877" s="28"/>
      <c r="I877" s="5"/>
      <c r="J877" s="5"/>
      <c r="M877" s="28"/>
      <c r="O877" s="25"/>
      <c r="P877" s="25"/>
      <c r="Q877" s="25"/>
      <c r="R877" s="10"/>
      <c r="S877" s="10"/>
      <c r="T877" s="14"/>
    </row>
    <row r="878">
      <c r="A878" s="37"/>
      <c r="B878" s="5"/>
      <c r="C878" s="5"/>
      <c r="D878" s="5"/>
      <c r="E878" s="9"/>
      <c r="F878" s="5"/>
      <c r="H878" s="28"/>
      <c r="I878" s="5"/>
      <c r="J878" s="5"/>
      <c r="M878" s="28"/>
      <c r="O878" s="25"/>
      <c r="P878" s="25"/>
      <c r="Q878" s="25"/>
      <c r="R878" s="10"/>
      <c r="S878" s="10"/>
      <c r="T878" s="14"/>
    </row>
    <row r="879">
      <c r="A879" s="37"/>
      <c r="B879" s="5"/>
      <c r="C879" s="5"/>
      <c r="D879" s="5"/>
      <c r="E879" s="9"/>
      <c r="F879" s="5"/>
      <c r="H879" s="28"/>
      <c r="I879" s="5"/>
      <c r="J879" s="5"/>
      <c r="M879" s="28"/>
      <c r="O879" s="25"/>
      <c r="P879" s="25"/>
      <c r="Q879" s="25"/>
      <c r="R879" s="10"/>
      <c r="S879" s="10"/>
      <c r="T879" s="14"/>
    </row>
    <row r="880">
      <c r="A880" s="37"/>
      <c r="B880" s="5"/>
      <c r="C880" s="5"/>
      <c r="D880" s="5"/>
      <c r="E880" s="9"/>
      <c r="F880" s="5"/>
      <c r="H880" s="28"/>
      <c r="I880" s="5"/>
      <c r="J880" s="5"/>
      <c r="M880" s="28"/>
      <c r="O880" s="25"/>
      <c r="P880" s="25"/>
      <c r="Q880" s="25"/>
      <c r="R880" s="10"/>
      <c r="S880" s="10"/>
      <c r="T880" s="14"/>
    </row>
    <row r="881">
      <c r="A881" s="37"/>
      <c r="B881" s="5"/>
      <c r="C881" s="5"/>
      <c r="D881" s="5"/>
      <c r="E881" s="9"/>
      <c r="F881" s="5"/>
      <c r="H881" s="28"/>
      <c r="I881" s="5"/>
      <c r="J881" s="5"/>
      <c r="M881" s="28"/>
      <c r="O881" s="25"/>
      <c r="P881" s="25"/>
      <c r="Q881" s="25"/>
      <c r="R881" s="10"/>
      <c r="S881" s="10"/>
      <c r="T881" s="14"/>
    </row>
    <row r="882">
      <c r="A882" s="37"/>
      <c r="B882" s="5"/>
      <c r="C882" s="5"/>
      <c r="D882" s="5"/>
      <c r="E882" s="9"/>
      <c r="F882" s="5"/>
      <c r="H882" s="28"/>
      <c r="I882" s="5"/>
      <c r="J882" s="5"/>
      <c r="M882" s="28"/>
      <c r="O882" s="25"/>
      <c r="P882" s="25"/>
      <c r="Q882" s="25"/>
      <c r="R882" s="10"/>
      <c r="S882" s="10"/>
      <c r="T882" s="14"/>
    </row>
    <row r="883">
      <c r="A883" s="37"/>
      <c r="B883" s="5"/>
      <c r="C883" s="5"/>
      <c r="D883" s="5"/>
      <c r="E883" s="9"/>
      <c r="F883" s="5"/>
      <c r="H883" s="28"/>
      <c r="I883" s="5"/>
      <c r="J883" s="5"/>
      <c r="M883" s="28"/>
      <c r="O883" s="25"/>
      <c r="P883" s="25"/>
      <c r="Q883" s="25"/>
      <c r="R883" s="10"/>
      <c r="S883" s="10"/>
      <c r="T883" s="14"/>
    </row>
    <row r="884">
      <c r="A884" s="37"/>
      <c r="B884" s="5"/>
      <c r="C884" s="5"/>
      <c r="D884" s="5"/>
      <c r="E884" s="9"/>
      <c r="F884" s="5"/>
      <c r="H884" s="28"/>
      <c r="I884" s="5"/>
      <c r="J884" s="5"/>
      <c r="M884" s="28"/>
      <c r="O884" s="25"/>
      <c r="P884" s="25"/>
      <c r="Q884" s="25"/>
      <c r="R884" s="10"/>
      <c r="S884" s="10"/>
      <c r="T884" s="14"/>
    </row>
    <row r="885">
      <c r="A885" s="37"/>
      <c r="B885" s="5"/>
      <c r="C885" s="5"/>
      <c r="D885" s="5"/>
      <c r="E885" s="9"/>
      <c r="F885" s="5"/>
      <c r="H885" s="28"/>
      <c r="I885" s="5"/>
      <c r="J885" s="5"/>
      <c r="M885" s="28"/>
      <c r="O885" s="25"/>
      <c r="P885" s="25"/>
      <c r="Q885" s="25"/>
      <c r="R885" s="10"/>
      <c r="S885" s="10"/>
      <c r="T885" s="14"/>
    </row>
    <row r="886">
      <c r="A886" s="37"/>
      <c r="B886" s="5"/>
      <c r="C886" s="5"/>
      <c r="D886" s="5"/>
      <c r="E886" s="9"/>
      <c r="F886" s="5"/>
      <c r="H886" s="28"/>
      <c r="I886" s="5"/>
      <c r="J886" s="5"/>
      <c r="M886" s="28"/>
      <c r="O886" s="25"/>
      <c r="P886" s="25"/>
      <c r="Q886" s="25"/>
      <c r="R886" s="10"/>
      <c r="S886" s="10"/>
      <c r="T886" s="14"/>
    </row>
    <row r="887">
      <c r="A887" s="37"/>
      <c r="B887" s="5"/>
      <c r="C887" s="5"/>
      <c r="D887" s="5"/>
      <c r="E887" s="9"/>
      <c r="F887" s="5"/>
      <c r="H887" s="28"/>
      <c r="I887" s="5"/>
      <c r="J887" s="5"/>
      <c r="M887" s="28"/>
      <c r="O887" s="25"/>
      <c r="P887" s="25"/>
      <c r="Q887" s="25"/>
      <c r="R887" s="10"/>
      <c r="S887" s="10"/>
      <c r="T887" s="14"/>
    </row>
    <row r="888">
      <c r="A888" s="37"/>
      <c r="B888" s="5"/>
      <c r="C888" s="5"/>
      <c r="D888" s="5"/>
      <c r="E888" s="9"/>
      <c r="F888" s="5"/>
      <c r="H888" s="28"/>
      <c r="I888" s="5"/>
      <c r="J888" s="5"/>
      <c r="M888" s="28"/>
      <c r="O888" s="25"/>
      <c r="P888" s="25"/>
      <c r="Q888" s="25"/>
      <c r="R888" s="10"/>
      <c r="S888" s="10"/>
      <c r="T888" s="14"/>
    </row>
    <row r="889">
      <c r="A889" s="37"/>
      <c r="B889" s="5"/>
      <c r="C889" s="5"/>
      <c r="D889" s="5"/>
      <c r="E889" s="9"/>
      <c r="F889" s="5"/>
      <c r="H889" s="28"/>
      <c r="I889" s="5"/>
      <c r="J889" s="5"/>
      <c r="M889" s="28"/>
      <c r="O889" s="25"/>
      <c r="P889" s="25"/>
      <c r="Q889" s="25"/>
      <c r="R889" s="10"/>
      <c r="S889" s="10"/>
      <c r="T889" s="14"/>
    </row>
    <row r="890">
      <c r="A890" s="37"/>
      <c r="B890" s="5"/>
      <c r="C890" s="5"/>
      <c r="D890" s="5"/>
      <c r="E890" s="9"/>
      <c r="F890" s="5"/>
      <c r="H890" s="28"/>
      <c r="I890" s="5"/>
      <c r="J890" s="5"/>
      <c r="M890" s="28"/>
      <c r="O890" s="25"/>
      <c r="P890" s="25"/>
      <c r="Q890" s="25"/>
      <c r="R890" s="10"/>
      <c r="S890" s="10"/>
      <c r="T890" s="14"/>
    </row>
    <row r="891">
      <c r="A891" s="37"/>
      <c r="B891" s="5"/>
      <c r="C891" s="5"/>
      <c r="D891" s="5"/>
      <c r="E891" s="9"/>
      <c r="F891" s="5"/>
      <c r="H891" s="28"/>
      <c r="I891" s="5"/>
      <c r="J891" s="5"/>
      <c r="M891" s="28"/>
      <c r="O891" s="25"/>
      <c r="P891" s="25"/>
      <c r="Q891" s="25"/>
      <c r="R891" s="10"/>
      <c r="S891" s="10"/>
      <c r="T891" s="14"/>
    </row>
    <row r="892">
      <c r="A892" s="37"/>
      <c r="B892" s="5"/>
      <c r="C892" s="5"/>
      <c r="D892" s="5"/>
      <c r="E892" s="9"/>
      <c r="F892" s="5"/>
      <c r="H892" s="28"/>
      <c r="I892" s="5"/>
      <c r="J892" s="5"/>
      <c r="M892" s="28"/>
      <c r="O892" s="25"/>
      <c r="P892" s="25"/>
      <c r="Q892" s="25"/>
      <c r="R892" s="10"/>
      <c r="S892" s="10"/>
      <c r="T892" s="14"/>
    </row>
    <row r="893">
      <c r="A893" s="37"/>
      <c r="B893" s="5"/>
      <c r="C893" s="5"/>
      <c r="D893" s="5"/>
      <c r="E893" s="9"/>
      <c r="F893" s="5"/>
      <c r="H893" s="28"/>
      <c r="I893" s="5"/>
      <c r="J893" s="5"/>
      <c r="M893" s="28"/>
      <c r="O893" s="25"/>
      <c r="P893" s="25"/>
      <c r="Q893" s="25"/>
      <c r="R893" s="10"/>
      <c r="S893" s="10"/>
      <c r="T893" s="14"/>
    </row>
    <row r="894">
      <c r="A894" s="37"/>
      <c r="B894" s="5"/>
      <c r="C894" s="5"/>
      <c r="D894" s="5"/>
      <c r="E894" s="9"/>
      <c r="F894" s="5"/>
      <c r="H894" s="28"/>
      <c r="I894" s="5"/>
      <c r="J894" s="5"/>
      <c r="M894" s="28"/>
      <c r="O894" s="25"/>
      <c r="P894" s="25"/>
      <c r="Q894" s="25"/>
      <c r="R894" s="10"/>
      <c r="S894" s="10"/>
      <c r="T894" s="14"/>
    </row>
    <row r="895">
      <c r="A895" s="37"/>
      <c r="B895" s="5"/>
      <c r="C895" s="5"/>
      <c r="D895" s="5"/>
      <c r="E895" s="9"/>
      <c r="F895" s="5"/>
      <c r="H895" s="28"/>
      <c r="I895" s="5"/>
      <c r="J895" s="5"/>
      <c r="M895" s="28"/>
      <c r="O895" s="25"/>
      <c r="P895" s="25"/>
      <c r="Q895" s="25"/>
      <c r="R895" s="10"/>
      <c r="S895" s="10"/>
      <c r="T895" s="14"/>
    </row>
    <row r="896">
      <c r="A896" s="37"/>
      <c r="B896" s="5"/>
      <c r="C896" s="5"/>
      <c r="D896" s="5"/>
      <c r="E896" s="9"/>
      <c r="F896" s="5"/>
      <c r="H896" s="28"/>
      <c r="I896" s="5"/>
      <c r="J896" s="5"/>
      <c r="M896" s="28"/>
      <c r="O896" s="25"/>
      <c r="P896" s="25"/>
      <c r="Q896" s="25"/>
      <c r="R896" s="10"/>
      <c r="S896" s="10"/>
      <c r="T896" s="14"/>
    </row>
    <row r="897">
      <c r="A897" s="37"/>
      <c r="B897" s="5"/>
      <c r="C897" s="5"/>
      <c r="D897" s="5"/>
      <c r="E897" s="9"/>
      <c r="F897" s="5"/>
      <c r="H897" s="28"/>
      <c r="I897" s="5"/>
      <c r="J897" s="5"/>
      <c r="M897" s="28"/>
      <c r="O897" s="25"/>
      <c r="P897" s="25"/>
      <c r="Q897" s="25"/>
      <c r="R897" s="10"/>
      <c r="S897" s="10"/>
      <c r="T897" s="14"/>
    </row>
    <row r="898">
      <c r="A898" s="37"/>
      <c r="B898" s="5"/>
      <c r="C898" s="5"/>
      <c r="D898" s="5"/>
      <c r="E898" s="9"/>
      <c r="F898" s="5"/>
      <c r="H898" s="28"/>
      <c r="I898" s="5"/>
      <c r="J898" s="5"/>
      <c r="M898" s="28"/>
      <c r="O898" s="25"/>
      <c r="P898" s="25"/>
      <c r="Q898" s="25"/>
      <c r="R898" s="10"/>
      <c r="S898" s="10"/>
      <c r="T898" s="14"/>
    </row>
    <row r="899">
      <c r="A899" s="37"/>
      <c r="B899" s="5"/>
      <c r="C899" s="5"/>
      <c r="D899" s="5"/>
      <c r="E899" s="9"/>
      <c r="F899" s="5"/>
      <c r="H899" s="28"/>
      <c r="I899" s="5"/>
      <c r="J899" s="5"/>
      <c r="M899" s="28"/>
      <c r="O899" s="25"/>
      <c r="P899" s="25"/>
      <c r="Q899" s="25"/>
      <c r="R899" s="10"/>
      <c r="S899" s="10"/>
      <c r="T899" s="14"/>
    </row>
    <row r="900">
      <c r="A900" s="37"/>
      <c r="B900" s="5"/>
      <c r="C900" s="5"/>
      <c r="D900" s="5"/>
      <c r="E900" s="9"/>
      <c r="F900" s="5"/>
      <c r="H900" s="28"/>
      <c r="I900" s="5"/>
      <c r="J900" s="5"/>
      <c r="M900" s="28"/>
      <c r="O900" s="25"/>
      <c r="P900" s="25"/>
      <c r="Q900" s="25"/>
      <c r="R900" s="10"/>
      <c r="S900" s="10"/>
      <c r="T900" s="14"/>
    </row>
    <row r="901">
      <c r="A901" s="37"/>
      <c r="B901" s="5"/>
      <c r="C901" s="5"/>
      <c r="D901" s="5"/>
      <c r="E901" s="9"/>
      <c r="F901" s="5"/>
      <c r="H901" s="28"/>
      <c r="I901" s="5"/>
      <c r="J901" s="5"/>
      <c r="M901" s="28"/>
      <c r="O901" s="25"/>
      <c r="P901" s="25"/>
      <c r="Q901" s="25"/>
      <c r="R901" s="10"/>
      <c r="S901" s="10"/>
      <c r="T901" s="14"/>
    </row>
    <row r="902">
      <c r="A902" s="37"/>
      <c r="B902" s="5"/>
      <c r="C902" s="5"/>
      <c r="D902" s="5"/>
      <c r="E902" s="9"/>
      <c r="F902" s="5"/>
      <c r="H902" s="28"/>
      <c r="I902" s="5"/>
      <c r="J902" s="5"/>
      <c r="M902" s="28"/>
      <c r="O902" s="25"/>
      <c r="P902" s="25"/>
      <c r="Q902" s="25"/>
      <c r="R902" s="10"/>
      <c r="S902" s="10"/>
      <c r="T902" s="14"/>
    </row>
    <row r="903">
      <c r="A903" s="37"/>
      <c r="B903" s="5"/>
      <c r="C903" s="5"/>
      <c r="D903" s="5"/>
      <c r="E903" s="9"/>
      <c r="F903" s="5"/>
      <c r="H903" s="28"/>
      <c r="I903" s="5"/>
      <c r="J903" s="5"/>
      <c r="M903" s="28"/>
      <c r="O903" s="25"/>
      <c r="P903" s="25"/>
      <c r="Q903" s="25"/>
      <c r="R903" s="10"/>
      <c r="S903" s="10"/>
      <c r="T903" s="14"/>
    </row>
    <row r="904">
      <c r="A904" s="37"/>
      <c r="B904" s="5"/>
      <c r="C904" s="5"/>
      <c r="D904" s="5"/>
      <c r="E904" s="9"/>
      <c r="F904" s="5"/>
      <c r="H904" s="28"/>
      <c r="I904" s="5"/>
      <c r="J904" s="5"/>
      <c r="M904" s="28"/>
      <c r="O904" s="25"/>
      <c r="P904" s="25"/>
      <c r="Q904" s="25"/>
      <c r="R904" s="10"/>
      <c r="S904" s="10"/>
      <c r="T904" s="14"/>
    </row>
    <row r="905">
      <c r="A905" s="37"/>
      <c r="B905" s="5"/>
      <c r="C905" s="5"/>
      <c r="D905" s="5"/>
      <c r="E905" s="9"/>
      <c r="F905" s="5"/>
      <c r="H905" s="28"/>
      <c r="I905" s="5"/>
      <c r="J905" s="5"/>
      <c r="M905" s="28"/>
      <c r="O905" s="25"/>
      <c r="P905" s="25"/>
      <c r="Q905" s="25"/>
      <c r="R905" s="10"/>
      <c r="S905" s="10"/>
      <c r="T905" s="14"/>
    </row>
    <row r="906">
      <c r="A906" s="37"/>
      <c r="B906" s="5"/>
      <c r="C906" s="5"/>
      <c r="D906" s="5"/>
      <c r="E906" s="9"/>
      <c r="F906" s="5"/>
      <c r="H906" s="28"/>
      <c r="I906" s="5"/>
      <c r="J906" s="5"/>
      <c r="M906" s="28"/>
      <c r="O906" s="25"/>
      <c r="P906" s="25"/>
      <c r="Q906" s="25"/>
      <c r="R906" s="10"/>
      <c r="S906" s="10"/>
      <c r="T906" s="14"/>
    </row>
    <row r="907">
      <c r="A907" s="37"/>
      <c r="B907" s="5"/>
      <c r="C907" s="5"/>
      <c r="D907" s="5"/>
      <c r="E907" s="9"/>
      <c r="F907" s="5"/>
      <c r="H907" s="28"/>
      <c r="I907" s="5"/>
      <c r="J907" s="5"/>
      <c r="M907" s="28"/>
      <c r="O907" s="25"/>
      <c r="P907" s="25"/>
      <c r="Q907" s="25"/>
      <c r="R907" s="10"/>
      <c r="S907" s="10"/>
      <c r="T907" s="14"/>
    </row>
    <row r="908">
      <c r="A908" s="37"/>
      <c r="B908" s="5"/>
      <c r="C908" s="5"/>
      <c r="D908" s="5"/>
      <c r="E908" s="9"/>
      <c r="F908" s="5"/>
      <c r="H908" s="28"/>
      <c r="I908" s="5"/>
      <c r="J908" s="5"/>
      <c r="M908" s="28"/>
      <c r="O908" s="25"/>
      <c r="P908" s="25"/>
      <c r="Q908" s="25"/>
      <c r="R908" s="10"/>
      <c r="S908" s="10"/>
      <c r="T908" s="14"/>
    </row>
    <row r="909">
      <c r="A909" s="37"/>
      <c r="B909" s="5"/>
      <c r="C909" s="5"/>
      <c r="D909" s="5"/>
      <c r="E909" s="9"/>
      <c r="F909" s="5"/>
      <c r="H909" s="28"/>
      <c r="I909" s="5"/>
      <c r="J909" s="5"/>
      <c r="M909" s="28"/>
      <c r="O909" s="25"/>
      <c r="P909" s="25"/>
      <c r="Q909" s="25"/>
      <c r="R909" s="10"/>
      <c r="S909" s="10"/>
      <c r="T909" s="14"/>
    </row>
    <row r="910">
      <c r="A910" s="37"/>
      <c r="B910" s="5"/>
      <c r="C910" s="5"/>
      <c r="D910" s="5"/>
      <c r="E910" s="9"/>
      <c r="F910" s="5"/>
      <c r="H910" s="28"/>
      <c r="I910" s="5"/>
      <c r="J910" s="5"/>
      <c r="M910" s="28"/>
      <c r="O910" s="25"/>
      <c r="P910" s="25"/>
      <c r="Q910" s="25"/>
      <c r="R910" s="10"/>
      <c r="S910" s="10"/>
      <c r="T910" s="14"/>
    </row>
    <row r="911">
      <c r="A911" s="37"/>
      <c r="B911" s="5"/>
      <c r="C911" s="5"/>
      <c r="D911" s="5"/>
      <c r="E911" s="9"/>
      <c r="F911" s="5"/>
      <c r="H911" s="28"/>
      <c r="I911" s="5"/>
      <c r="J911" s="5"/>
      <c r="M911" s="28"/>
      <c r="O911" s="25"/>
      <c r="P911" s="25"/>
      <c r="Q911" s="25"/>
      <c r="R911" s="10"/>
      <c r="S911" s="10"/>
      <c r="T911" s="14"/>
    </row>
    <row r="912">
      <c r="A912" s="37"/>
      <c r="B912" s="5"/>
      <c r="C912" s="5"/>
      <c r="D912" s="5"/>
      <c r="E912" s="9"/>
      <c r="F912" s="5"/>
      <c r="H912" s="28"/>
      <c r="I912" s="5"/>
      <c r="J912" s="5"/>
      <c r="M912" s="28"/>
      <c r="O912" s="25"/>
      <c r="P912" s="25"/>
      <c r="Q912" s="25"/>
      <c r="R912" s="10"/>
      <c r="S912" s="10"/>
      <c r="T912" s="14"/>
    </row>
    <row r="913">
      <c r="A913" s="37"/>
      <c r="B913" s="5"/>
      <c r="C913" s="5"/>
      <c r="D913" s="5"/>
      <c r="E913" s="9"/>
      <c r="F913" s="5"/>
      <c r="H913" s="28"/>
      <c r="I913" s="5"/>
      <c r="J913" s="5"/>
      <c r="M913" s="28"/>
      <c r="O913" s="25"/>
      <c r="P913" s="25"/>
      <c r="Q913" s="25"/>
      <c r="R913" s="10"/>
      <c r="S913" s="10"/>
      <c r="T913" s="14"/>
    </row>
    <row r="914">
      <c r="A914" s="37"/>
      <c r="B914" s="5"/>
      <c r="C914" s="5"/>
      <c r="D914" s="5"/>
      <c r="E914" s="9"/>
      <c r="F914" s="5"/>
      <c r="H914" s="28"/>
      <c r="I914" s="5"/>
      <c r="J914" s="5"/>
      <c r="M914" s="28"/>
      <c r="O914" s="25"/>
      <c r="P914" s="25"/>
      <c r="Q914" s="25"/>
      <c r="R914" s="10"/>
      <c r="S914" s="10"/>
      <c r="T914" s="14"/>
    </row>
    <row r="915">
      <c r="A915" s="37"/>
      <c r="B915" s="5"/>
      <c r="C915" s="5"/>
      <c r="D915" s="5"/>
      <c r="E915" s="9"/>
      <c r="F915" s="5"/>
      <c r="H915" s="28"/>
      <c r="I915" s="5"/>
      <c r="J915" s="5"/>
      <c r="M915" s="28"/>
      <c r="O915" s="25"/>
      <c r="P915" s="25"/>
      <c r="Q915" s="25"/>
      <c r="R915" s="10"/>
      <c r="S915" s="10"/>
      <c r="T915" s="14"/>
    </row>
    <row r="916">
      <c r="A916" s="37"/>
      <c r="B916" s="5"/>
      <c r="C916" s="5"/>
      <c r="D916" s="5"/>
      <c r="E916" s="9"/>
      <c r="F916" s="5"/>
      <c r="H916" s="28"/>
      <c r="I916" s="5"/>
      <c r="J916" s="5"/>
      <c r="M916" s="28"/>
      <c r="O916" s="25"/>
      <c r="P916" s="25"/>
      <c r="Q916" s="25"/>
      <c r="R916" s="10"/>
      <c r="S916" s="10"/>
      <c r="T916" s="14"/>
    </row>
    <row r="917">
      <c r="A917" s="37"/>
      <c r="B917" s="5"/>
      <c r="C917" s="5"/>
      <c r="D917" s="5"/>
      <c r="E917" s="9"/>
      <c r="F917" s="5"/>
      <c r="H917" s="28"/>
      <c r="I917" s="5"/>
      <c r="J917" s="5"/>
      <c r="M917" s="28"/>
      <c r="O917" s="25"/>
      <c r="P917" s="25"/>
      <c r="Q917" s="25"/>
      <c r="R917" s="10"/>
      <c r="S917" s="10"/>
      <c r="T917" s="14"/>
    </row>
    <row r="918">
      <c r="A918" s="37"/>
      <c r="B918" s="5"/>
      <c r="C918" s="5"/>
      <c r="D918" s="5"/>
      <c r="E918" s="9"/>
      <c r="F918" s="5"/>
      <c r="H918" s="28"/>
      <c r="I918" s="5"/>
      <c r="J918" s="5"/>
      <c r="M918" s="28"/>
      <c r="O918" s="25"/>
      <c r="P918" s="25"/>
      <c r="Q918" s="25"/>
      <c r="R918" s="10"/>
      <c r="S918" s="10"/>
      <c r="T918" s="14"/>
    </row>
    <row r="919">
      <c r="A919" s="37"/>
      <c r="B919" s="5"/>
      <c r="C919" s="5"/>
      <c r="D919" s="5"/>
      <c r="E919" s="9"/>
      <c r="F919" s="5"/>
      <c r="H919" s="28"/>
      <c r="I919" s="5"/>
      <c r="J919" s="5"/>
      <c r="M919" s="28"/>
      <c r="O919" s="25"/>
      <c r="P919" s="25"/>
      <c r="Q919" s="25"/>
      <c r="R919" s="10"/>
      <c r="S919" s="10"/>
      <c r="T919" s="14"/>
    </row>
    <row r="920">
      <c r="A920" s="37"/>
      <c r="B920" s="5"/>
      <c r="C920" s="5"/>
      <c r="D920" s="5"/>
      <c r="E920" s="9"/>
      <c r="F920" s="5"/>
      <c r="H920" s="28"/>
      <c r="I920" s="5"/>
      <c r="J920" s="5"/>
      <c r="M920" s="28"/>
      <c r="O920" s="25"/>
      <c r="P920" s="25"/>
      <c r="Q920" s="25"/>
      <c r="R920" s="10"/>
      <c r="S920" s="10"/>
      <c r="T920" s="14"/>
    </row>
    <row r="921">
      <c r="A921" s="37"/>
      <c r="B921" s="5"/>
      <c r="C921" s="5"/>
      <c r="D921" s="5"/>
      <c r="E921" s="9"/>
      <c r="F921" s="5"/>
      <c r="H921" s="28"/>
      <c r="I921" s="5"/>
      <c r="J921" s="5"/>
      <c r="M921" s="28"/>
      <c r="O921" s="25"/>
      <c r="P921" s="25"/>
      <c r="Q921" s="25"/>
      <c r="R921" s="10"/>
      <c r="S921" s="10"/>
      <c r="T921" s="14"/>
    </row>
    <row r="922">
      <c r="A922" s="37"/>
      <c r="B922" s="5"/>
      <c r="C922" s="5"/>
      <c r="D922" s="5"/>
      <c r="E922" s="9"/>
      <c r="F922" s="5"/>
      <c r="H922" s="28"/>
      <c r="I922" s="5"/>
      <c r="J922" s="5"/>
      <c r="M922" s="28"/>
      <c r="O922" s="25"/>
      <c r="P922" s="25"/>
      <c r="Q922" s="25"/>
      <c r="R922" s="10"/>
      <c r="S922" s="10"/>
      <c r="T922" s="14"/>
    </row>
    <row r="923">
      <c r="A923" s="37"/>
      <c r="B923" s="5"/>
      <c r="C923" s="5"/>
      <c r="D923" s="5"/>
      <c r="E923" s="9"/>
      <c r="F923" s="5"/>
      <c r="H923" s="28"/>
      <c r="I923" s="5"/>
      <c r="J923" s="5"/>
      <c r="M923" s="28"/>
      <c r="O923" s="25"/>
      <c r="P923" s="25"/>
      <c r="Q923" s="25"/>
      <c r="R923" s="10"/>
      <c r="S923" s="10"/>
      <c r="T923" s="14"/>
    </row>
    <row r="924">
      <c r="A924" s="37"/>
      <c r="B924" s="5"/>
      <c r="C924" s="5"/>
      <c r="D924" s="5"/>
      <c r="E924" s="9"/>
      <c r="F924" s="5"/>
      <c r="H924" s="28"/>
      <c r="I924" s="5"/>
      <c r="J924" s="5"/>
      <c r="M924" s="28"/>
      <c r="O924" s="25"/>
      <c r="P924" s="25"/>
      <c r="Q924" s="25"/>
      <c r="R924" s="10"/>
      <c r="S924" s="10"/>
      <c r="T924" s="14"/>
    </row>
    <row r="925">
      <c r="A925" s="37"/>
      <c r="B925" s="5"/>
      <c r="C925" s="5"/>
      <c r="D925" s="5"/>
      <c r="E925" s="9"/>
      <c r="F925" s="5"/>
      <c r="H925" s="28"/>
      <c r="I925" s="5"/>
      <c r="J925" s="5"/>
      <c r="M925" s="28"/>
      <c r="O925" s="25"/>
      <c r="P925" s="25"/>
      <c r="Q925" s="25"/>
      <c r="R925" s="10"/>
      <c r="S925" s="10"/>
      <c r="T925" s="14"/>
    </row>
    <row r="926">
      <c r="A926" s="37"/>
      <c r="B926" s="5"/>
      <c r="C926" s="5"/>
      <c r="D926" s="5"/>
      <c r="E926" s="9"/>
      <c r="F926" s="5"/>
      <c r="H926" s="28"/>
      <c r="I926" s="5"/>
      <c r="J926" s="5"/>
      <c r="M926" s="28"/>
      <c r="O926" s="25"/>
      <c r="P926" s="25"/>
      <c r="Q926" s="25"/>
      <c r="R926" s="10"/>
      <c r="S926" s="10"/>
      <c r="T926" s="14"/>
    </row>
    <row r="927">
      <c r="A927" s="37"/>
      <c r="B927" s="5"/>
      <c r="C927" s="5"/>
      <c r="D927" s="5"/>
      <c r="E927" s="9"/>
      <c r="F927" s="5"/>
      <c r="H927" s="28"/>
      <c r="I927" s="5"/>
      <c r="J927" s="5"/>
      <c r="M927" s="28"/>
      <c r="O927" s="25"/>
      <c r="P927" s="25"/>
      <c r="Q927" s="25"/>
      <c r="R927" s="10"/>
      <c r="S927" s="10"/>
      <c r="T927" s="14"/>
    </row>
    <row r="928">
      <c r="A928" s="37"/>
      <c r="B928" s="5"/>
      <c r="C928" s="5"/>
      <c r="D928" s="5"/>
      <c r="E928" s="9"/>
      <c r="F928" s="5"/>
      <c r="H928" s="28"/>
      <c r="I928" s="5"/>
      <c r="J928" s="5"/>
      <c r="M928" s="28"/>
      <c r="O928" s="25"/>
      <c r="P928" s="25"/>
      <c r="Q928" s="25"/>
      <c r="R928" s="10"/>
      <c r="S928" s="10"/>
      <c r="T928" s="14"/>
    </row>
    <row r="929">
      <c r="A929" s="37"/>
      <c r="B929" s="5"/>
      <c r="C929" s="5"/>
      <c r="D929" s="5"/>
      <c r="E929" s="9"/>
      <c r="F929" s="5"/>
      <c r="H929" s="28"/>
      <c r="I929" s="5"/>
      <c r="J929" s="5"/>
      <c r="M929" s="28"/>
      <c r="O929" s="25"/>
      <c r="P929" s="25"/>
      <c r="Q929" s="25"/>
      <c r="R929" s="10"/>
      <c r="S929" s="10"/>
      <c r="T929" s="14"/>
    </row>
    <row r="930">
      <c r="A930" s="37"/>
      <c r="B930" s="5"/>
      <c r="C930" s="5"/>
      <c r="D930" s="5"/>
      <c r="E930" s="9"/>
      <c r="F930" s="5"/>
      <c r="H930" s="28"/>
      <c r="I930" s="5"/>
      <c r="J930" s="5"/>
      <c r="M930" s="28"/>
      <c r="O930" s="25"/>
      <c r="P930" s="25"/>
      <c r="Q930" s="25"/>
      <c r="R930" s="10"/>
      <c r="S930" s="10"/>
      <c r="T930" s="14"/>
    </row>
    <row r="931">
      <c r="A931" s="37"/>
      <c r="B931" s="5"/>
      <c r="C931" s="5"/>
      <c r="D931" s="5"/>
      <c r="E931" s="9"/>
      <c r="F931" s="5"/>
      <c r="H931" s="28"/>
      <c r="I931" s="5"/>
      <c r="J931" s="5"/>
      <c r="M931" s="28"/>
      <c r="O931" s="25"/>
      <c r="P931" s="25"/>
      <c r="Q931" s="25"/>
      <c r="R931" s="10"/>
      <c r="S931" s="10"/>
      <c r="T931" s="14"/>
    </row>
    <row r="932">
      <c r="A932" s="37"/>
      <c r="B932" s="5"/>
      <c r="C932" s="5"/>
      <c r="D932" s="5"/>
      <c r="E932" s="9"/>
      <c r="F932" s="5"/>
      <c r="H932" s="28"/>
      <c r="I932" s="5"/>
      <c r="J932" s="5"/>
      <c r="M932" s="28"/>
      <c r="O932" s="25"/>
      <c r="P932" s="25"/>
      <c r="Q932" s="25"/>
      <c r="R932" s="10"/>
      <c r="S932" s="10"/>
      <c r="T932" s="14"/>
    </row>
    <row r="933">
      <c r="A933" s="37"/>
      <c r="B933" s="5"/>
      <c r="C933" s="5"/>
      <c r="D933" s="5"/>
      <c r="E933" s="9"/>
      <c r="F933" s="5"/>
      <c r="H933" s="28"/>
      <c r="I933" s="5"/>
      <c r="J933" s="5"/>
      <c r="M933" s="28"/>
      <c r="O933" s="25"/>
      <c r="P933" s="25"/>
      <c r="Q933" s="25"/>
      <c r="R933" s="10"/>
      <c r="S933" s="10"/>
      <c r="T933" s="14"/>
    </row>
    <row r="934">
      <c r="A934" s="37"/>
      <c r="B934" s="5"/>
      <c r="C934" s="5"/>
      <c r="D934" s="5"/>
      <c r="E934" s="9"/>
      <c r="F934" s="5"/>
      <c r="H934" s="28"/>
      <c r="I934" s="5"/>
      <c r="J934" s="5"/>
      <c r="M934" s="28"/>
      <c r="O934" s="25"/>
      <c r="P934" s="25"/>
      <c r="Q934" s="25"/>
      <c r="R934" s="10"/>
      <c r="S934" s="10"/>
      <c r="T934" s="14"/>
    </row>
    <row r="935">
      <c r="A935" s="37"/>
      <c r="B935" s="5"/>
      <c r="C935" s="5"/>
      <c r="D935" s="5"/>
      <c r="E935" s="9"/>
      <c r="F935" s="5"/>
      <c r="H935" s="28"/>
      <c r="I935" s="5"/>
      <c r="J935" s="5"/>
      <c r="M935" s="28"/>
      <c r="O935" s="25"/>
      <c r="P935" s="25"/>
      <c r="Q935" s="25"/>
      <c r="R935" s="10"/>
      <c r="S935" s="10"/>
      <c r="T935" s="14"/>
    </row>
    <row r="936">
      <c r="A936" s="37"/>
      <c r="B936" s="5"/>
      <c r="C936" s="5"/>
      <c r="D936" s="5"/>
      <c r="E936" s="9"/>
      <c r="F936" s="5"/>
      <c r="H936" s="28"/>
      <c r="I936" s="5"/>
      <c r="J936" s="5"/>
      <c r="M936" s="28"/>
      <c r="O936" s="25"/>
      <c r="P936" s="25"/>
      <c r="Q936" s="25"/>
      <c r="R936" s="10"/>
      <c r="S936" s="10"/>
      <c r="T936" s="14"/>
    </row>
    <row r="937">
      <c r="A937" s="37"/>
      <c r="B937" s="5"/>
      <c r="C937" s="5"/>
      <c r="D937" s="5"/>
      <c r="E937" s="9"/>
      <c r="F937" s="5"/>
      <c r="H937" s="28"/>
      <c r="I937" s="5"/>
      <c r="J937" s="5"/>
      <c r="M937" s="28"/>
      <c r="O937" s="25"/>
      <c r="P937" s="25"/>
      <c r="Q937" s="25"/>
      <c r="R937" s="10"/>
      <c r="S937" s="10"/>
      <c r="T937" s="14"/>
    </row>
    <row r="938">
      <c r="A938" s="37"/>
      <c r="B938" s="5"/>
      <c r="C938" s="5"/>
      <c r="D938" s="5"/>
      <c r="E938" s="9"/>
      <c r="F938" s="5"/>
      <c r="H938" s="28"/>
      <c r="I938" s="5"/>
      <c r="J938" s="5"/>
      <c r="M938" s="28"/>
      <c r="O938" s="25"/>
      <c r="P938" s="25"/>
      <c r="Q938" s="25"/>
      <c r="R938" s="10"/>
      <c r="S938" s="10"/>
      <c r="T938" s="14"/>
    </row>
    <row r="939">
      <c r="A939" s="37"/>
      <c r="B939" s="5"/>
      <c r="C939" s="5"/>
      <c r="D939" s="5"/>
      <c r="E939" s="9"/>
      <c r="F939" s="5"/>
      <c r="H939" s="28"/>
      <c r="I939" s="5"/>
      <c r="J939" s="5"/>
      <c r="M939" s="28"/>
      <c r="O939" s="25"/>
      <c r="P939" s="25"/>
      <c r="Q939" s="25"/>
      <c r="R939" s="10"/>
      <c r="S939" s="10"/>
      <c r="T939" s="14"/>
    </row>
    <row r="940">
      <c r="A940" s="37"/>
      <c r="B940" s="5"/>
      <c r="C940" s="5"/>
      <c r="D940" s="5"/>
      <c r="E940" s="9"/>
      <c r="F940" s="5"/>
      <c r="H940" s="28"/>
      <c r="I940" s="5"/>
      <c r="J940" s="5"/>
      <c r="M940" s="28"/>
      <c r="O940" s="25"/>
      <c r="P940" s="25"/>
      <c r="Q940" s="25"/>
      <c r="R940" s="10"/>
      <c r="S940" s="10"/>
      <c r="T940" s="14"/>
    </row>
    <row r="941">
      <c r="A941" s="37"/>
      <c r="B941" s="5"/>
      <c r="C941" s="5"/>
      <c r="D941" s="5"/>
      <c r="E941" s="9"/>
      <c r="F941" s="5"/>
      <c r="H941" s="28"/>
      <c r="I941" s="5"/>
      <c r="J941" s="5"/>
      <c r="M941" s="28"/>
      <c r="O941" s="25"/>
      <c r="P941" s="25"/>
      <c r="Q941" s="25"/>
      <c r="R941" s="10"/>
      <c r="S941" s="10"/>
      <c r="T941" s="14"/>
    </row>
    <row r="942">
      <c r="A942" s="37"/>
      <c r="B942" s="5"/>
      <c r="C942" s="5"/>
      <c r="D942" s="5"/>
      <c r="E942" s="9"/>
      <c r="F942" s="5"/>
      <c r="H942" s="28"/>
      <c r="I942" s="5"/>
      <c r="J942" s="5"/>
      <c r="M942" s="28"/>
      <c r="O942" s="25"/>
      <c r="P942" s="25"/>
      <c r="Q942" s="25"/>
      <c r="R942" s="10"/>
      <c r="S942" s="10"/>
      <c r="T942" s="14"/>
    </row>
    <row r="943">
      <c r="A943" s="37"/>
      <c r="B943" s="5"/>
      <c r="C943" s="5"/>
      <c r="D943" s="5"/>
      <c r="E943" s="9"/>
      <c r="F943" s="5"/>
      <c r="H943" s="28"/>
      <c r="I943" s="5"/>
      <c r="J943" s="5"/>
      <c r="M943" s="28"/>
      <c r="O943" s="25"/>
      <c r="P943" s="25"/>
      <c r="Q943" s="25"/>
      <c r="R943" s="10"/>
      <c r="S943" s="10"/>
      <c r="T943" s="14"/>
    </row>
    <row r="944">
      <c r="A944" s="37"/>
      <c r="B944" s="5"/>
      <c r="C944" s="5"/>
      <c r="D944" s="5"/>
      <c r="E944" s="9"/>
      <c r="F944" s="5"/>
      <c r="H944" s="28"/>
      <c r="I944" s="5"/>
      <c r="J944" s="5"/>
      <c r="M944" s="28"/>
      <c r="O944" s="25"/>
      <c r="P944" s="25"/>
      <c r="Q944" s="25"/>
      <c r="R944" s="10"/>
      <c r="S944" s="10"/>
      <c r="T944" s="14"/>
    </row>
    <row r="945">
      <c r="A945" s="37"/>
      <c r="B945" s="5"/>
      <c r="C945" s="5"/>
      <c r="D945" s="5"/>
      <c r="E945" s="9"/>
      <c r="F945" s="5"/>
      <c r="H945" s="28"/>
      <c r="I945" s="5"/>
      <c r="J945" s="5"/>
      <c r="M945" s="28"/>
      <c r="O945" s="25"/>
      <c r="P945" s="25"/>
      <c r="Q945" s="25"/>
      <c r="R945" s="10"/>
      <c r="S945" s="10"/>
      <c r="T945" s="14"/>
    </row>
    <row r="946">
      <c r="A946" s="37"/>
      <c r="B946" s="5"/>
      <c r="C946" s="5"/>
      <c r="D946" s="5"/>
      <c r="E946" s="9"/>
      <c r="F946" s="5"/>
      <c r="H946" s="28"/>
      <c r="I946" s="5"/>
      <c r="J946" s="5"/>
      <c r="M946" s="28"/>
      <c r="O946" s="25"/>
      <c r="P946" s="25"/>
      <c r="Q946" s="25"/>
      <c r="R946" s="10"/>
      <c r="S946" s="10"/>
      <c r="T946" s="14"/>
    </row>
    <row r="947">
      <c r="A947" s="37"/>
      <c r="B947" s="5"/>
      <c r="C947" s="5"/>
      <c r="D947" s="5"/>
      <c r="E947" s="9"/>
      <c r="F947" s="5"/>
      <c r="H947" s="28"/>
      <c r="I947" s="5"/>
      <c r="J947" s="5"/>
      <c r="M947" s="28"/>
      <c r="O947" s="25"/>
      <c r="P947" s="25"/>
      <c r="Q947" s="25"/>
      <c r="R947" s="10"/>
      <c r="S947" s="10"/>
      <c r="T947" s="14"/>
    </row>
    <row r="948">
      <c r="A948" s="37"/>
      <c r="B948" s="5"/>
      <c r="C948" s="5"/>
      <c r="D948" s="5"/>
      <c r="E948" s="9"/>
      <c r="F948" s="5"/>
      <c r="H948" s="28"/>
      <c r="I948" s="5"/>
      <c r="J948" s="5"/>
      <c r="M948" s="28"/>
      <c r="O948" s="25"/>
      <c r="P948" s="25"/>
      <c r="Q948" s="25"/>
      <c r="R948" s="10"/>
      <c r="S948" s="10"/>
      <c r="T948" s="14"/>
    </row>
    <row r="949">
      <c r="A949" s="37"/>
      <c r="B949" s="5"/>
      <c r="C949" s="5"/>
      <c r="D949" s="5"/>
      <c r="E949" s="9"/>
      <c r="F949" s="5"/>
      <c r="H949" s="28"/>
      <c r="I949" s="5"/>
      <c r="J949" s="5"/>
      <c r="M949" s="28"/>
      <c r="O949" s="25"/>
      <c r="P949" s="25"/>
      <c r="Q949" s="25"/>
      <c r="R949" s="10"/>
      <c r="S949" s="10"/>
      <c r="T949" s="14"/>
    </row>
    <row r="950">
      <c r="A950" s="37"/>
      <c r="B950" s="5"/>
      <c r="C950" s="5"/>
      <c r="D950" s="5"/>
      <c r="E950" s="9"/>
      <c r="F950" s="5"/>
      <c r="H950" s="28"/>
      <c r="I950" s="5"/>
      <c r="J950" s="5"/>
      <c r="M950" s="28"/>
      <c r="O950" s="25"/>
      <c r="P950" s="25"/>
      <c r="Q950" s="25"/>
      <c r="R950" s="10"/>
      <c r="S950" s="10"/>
      <c r="T950" s="14"/>
    </row>
    <row r="951">
      <c r="A951" s="37"/>
      <c r="B951" s="5"/>
      <c r="C951" s="5"/>
      <c r="D951" s="5"/>
      <c r="E951" s="9"/>
      <c r="F951" s="5"/>
      <c r="H951" s="28"/>
      <c r="I951" s="5"/>
      <c r="J951" s="5"/>
      <c r="M951" s="28"/>
      <c r="O951" s="25"/>
      <c r="P951" s="25"/>
      <c r="Q951" s="25"/>
      <c r="R951" s="10"/>
      <c r="S951" s="10"/>
      <c r="T951" s="14"/>
    </row>
    <row r="952">
      <c r="A952" s="37"/>
      <c r="B952" s="5"/>
      <c r="C952" s="5"/>
      <c r="D952" s="5"/>
      <c r="E952" s="9"/>
      <c r="F952" s="5"/>
      <c r="H952" s="28"/>
      <c r="I952" s="5"/>
      <c r="J952" s="5"/>
      <c r="M952" s="28"/>
      <c r="O952" s="25"/>
      <c r="P952" s="25"/>
      <c r="Q952" s="25"/>
      <c r="R952" s="10"/>
      <c r="S952" s="10"/>
      <c r="T952" s="14"/>
    </row>
    <row r="953">
      <c r="A953" s="37"/>
      <c r="B953" s="5"/>
      <c r="C953" s="5"/>
      <c r="D953" s="5"/>
      <c r="E953" s="9"/>
      <c r="F953" s="5"/>
      <c r="H953" s="28"/>
      <c r="I953" s="5"/>
      <c r="J953" s="5"/>
      <c r="M953" s="28"/>
      <c r="O953" s="25"/>
      <c r="P953" s="25"/>
      <c r="Q953" s="25"/>
      <c r="R953" s="10"/>
      <c r="S953" s="10"/>
      <c r="T953" s="14"/>
    </row>
    <row r="954">
      <c r="A954" s="37"/>
      <c r="B954" s="5"/>
      <c r="C954" s="5"/>
      <c r="D954" s="5"/>
      <c r="E954" s="9"/>
      <c r="F954" s="5"/>
      <c r="H954" s="28"/>
      <c r="I954" s="5"/>
      <c r="J954" s="5"/>
      <c r="M954" s="28"/>
      <c r="O954" s="25"/>
      <c r="P954" s="25"/>
      <c r="Q954" s="25"/>
      <c r="R954" s="10"/>
      <c r="S954" s="10"/>
      <c r="T954" s="14"/>
    </row>
    <row r="955">
      <c r="A955" s="37"/>
      <c r="B955" s="5"/>
      <c r="C955" s="5"/>
      <c r="D955" s="5"/>
      <c r="E955" s="9"/>
      <c r="F955" s="5"/>
      <c r="H955" s="28"/>
      <c r="I955" s="5"/>
      <c r="J955" s="5"/>
      <c r="M955" s="28"/>
      <c r="O955" s="25"/>
      <c r="P955" s="25"/>
      <c r="Q955" s="25"/>
      <c r="R955" s="10"/>
      <c r="S955" s="10"/>
      <c r="T955" s="14"/>
    </row>
    <row r="956">
      <c r="A956" s="37"/>
      <c r="B956" s="5"/>
      <c r="C956" s="5"/>
      <c r="D956" s="5"/>
      <c r="E956" s="9"/>
      <c r="F956" s="5"/>
      <c r="H956" s="28"/>
      <c r="I956" s="5"/>
      <c r="J956" s="5"/>
      <c r="M956" s="28"/>
      <c r="O956" s="25"/>
      <c r="P956" s="25"/>
      <c r="Q956" s="25"/>
      <c r="R956" s="10"/>
      <c r="S956" s="10"/>
      <c r="T956" s="14"/>
    </row>
    <row r="957">
      <c r="A957" s="37"/>
      <c r="B957" s="5"/>
      <c r="C957" s="5"/>
      <c r="D957" s="5"/>
      <c r="E957" s="9"/>
      <c r="F957" s="5"/>
      <c r="H957" s="28"/>
      <c r="I957" s="5"/>
      <c r="J957" s="5"/>
      <c r="M957" s="28"/>
      <c r="O957" s="25"/>
      <c r="P957" s="25"/>
      <c r="Q957" s="25"/>
      <c r="R957" s="10"/>
      <c r="S957" s="10"/>
      <c r="T957" s="14"/>
    </row>
    <row r="958">
      <c r="A958" s="37"/>
      <c r="B958" s="5"/>
      <c r="C958" s="5"/>
      <c r="D958" s="5"/>
      <c r="E958" s="9"/>
      <c r="F958" s="5"/>
      <c r="H958" s="28"/>
      <c r="I958" s="5"/>
      <c r="J958" s="5"/>
      <c r="M958" s="28"/>
      <c r="O958" s="25"/>
      <c r="P958" s="25"/>
      <c r="Q958" s="25"/>
      <c r="R958" s="10"/>
      <c r="S958" s="10"/>
      <c r="T958" s="14"/>
    </row>
    <row r="959">
      <c r="A959" s="37"/>
      <c r="B959" s="5"/>
      <c r="C959" s="5"/>
      <c r="D959" s="5"/>
      <c r="E959" s="9"/>
      <c r="F959" s="5"/>
      <c r="H959" s="28"/>
      <c r="I959" s="5"/>
      <c r="J959" s="5"/>
      <c r="M959" s="28"/>
      <c r="O959" s="25"/>
      <c r="P959" s="25"/>
      <c r="Q959" s="25"/>
      <c r="R959" s="10"/>
      <c r="S959" s="10"/>
      <c r="T959" s="14"/>
    </row>
    <row r="960">
      <c r="A960" s="37"/>
      <c r="B960" s="5"/>
      <c r="C960" s="5"/>
      <c r="D960" s="5"/>
      <c r="E960" s="9"/>
      <c r="F960" s="5"/>
      <c r="H960" s="28"/>
      <c r="I960" s="5"/>
      <c r="J960" s="5"/>
      <c r="M960" s="28"/>
      <c r="O960" s="25"/>
      <c r="P960" s="25"/>
      <c r="Q960" s="25"/>
      <c r="R960" s="10"/>
      <c r="S960" s="10"/>
      <c r="T960" s="14"/>
    </row>
    <row r="961">
      <c r="A961" s="37"/>
      <c r="B961" s="5"/>
      <c r="C961" s="5"/>
      <c r="D961" s="5"/>
      <c r="E961" s="9"/>
      <c r="F961" s="5"/>
      <c r="H961" s="28"/>
      <c r="I961" s="5"/>
      <c r="J961" s="5"/>
      <c r="M961" s="28"/>
      <c r="O961" s="25"/>
      <c r="P961" s="25"/>
      <c r="Q961" s="25"/>
      <c r="R961" s="10"/>
      <c r="S961" s="10"/>
      <c r="T961" s="14"/>
    </row>
    <row r="962">
      <c r="A962" s="37"/>
      <c r="B962" s="5"/>
      <c r="C962" s="5"/>
      <c r="D962" s="5"/>
      <c r="E962" s="9"/>
      <c r="F962" s="5"/>
      <c r="H962" s="28"/>
      <c r="I962" s="5"/>
      <c r="J962" s="5"/>
      <c r="M962" s="28"/>
      <c r="O962" s="25"/>
      <c r="P962" s="25"/>
      <c r="Q962" s="25"/>
      <c r="R962" s="10"/>
      <c r="S962" s="10"/>
      <c r="T962" s="14"/>
    </row>
    <row r="963">
      <c r="A963" s="37"/>
      <c r="B963" s="5"/>
      <c r="C963" s="5"/>
      <c r="D963" s="5"/>
      <c r="E963" s="9"/>
      <c r="F963" s="5"/>
      <c r="H963" s="28"/>
      <c r="I963" s="5"/>
      <c r="J963" s="5"/>
      <c r="M963" s="28"/>
      <c r="O963" s="25"/>
      <c r="P963" s="25"/>
      <c r="Q963" s="25"/>
      <c r="R963" s="10"/>
      <c r="S963" s="10"/>
      <c r="T963" s="14"/>
    </row>
    <row r="964">
      <c r="A964" s="37"/>
      <c r="B964" s="5"/>
      <c r="C964" s="5"/>
      <c r="D964" s="5"/>
      <c r="E964" s="9"/>
      <c r="F964" s="5"/>
      <c r="H964" s="28"/>
      <c r="I964" s="5"/>
      <c r="J964" s="5"/>
      <c r="M964" s="28"/>
      <c r="O964" s="25"/>
      <c r="P964" s="25"/>
      <c r="Q964" s="25"/>
      <c r="R964" s="10"/>
      <c r="S964" s="10"/>
      <c r="T964" s="14"/>
    </row>
    <row r="965">
      <c r="A965" s="37"/>
      <c r="B965" s="5"/>
      <c r="C965" s="5"/>
      <c r="D965" s="5"/>
      <c r="E965" s="9"/>
      <c r="F965" s="5"/>
      <c r="H965" s="28"/>
      <c r="I965" s="5"/>
      <c r="J965" s="5"/>
      <c r="M965" s="28"/>
      <c r="O965" s="25"/>
      <c r="P965" s="25"/>
      <c r="Q965" s="25"/>
      <c r="R965" s="10"/>
      <c r="S965" s="10"/>
      <c r="T965" s="14"/>
    </row>
    <row r="966">
      <c r="A966" s="37"/>
      <c r="B966" s="5"/>
      <c r="C966" s="5"/>
      <c r="D966" s="5"/>
      <c r="E966" s="9"/>
      <c r="F966" s="5"/>
      <c r="H966" s="28"/>
      <c r="I966" s="5"/>
      <c r="J966" s="5"/>
      <c r="M966" s="28"/>
      <c r="O966" s="25"/>
      <c r="P966" s="25"/>
      <c r="Q966" s="25"/>
      <c r="R966" s="10"/>
      <c r="S966" s="10"/>
      <c r="T966" s="14"/>
    </row>
    <row r="967">
      <c r="A967" s="37"/>
      <c r="B967" s="5"/>
      <c r="C967" s="5"/>
      <c r="D967" s="5"/>
      <c r="E967" s="9"/>
      <c r="F967" s="5"/>
      <c r="H967" s="28"/>
      <c r="I967" s="5"/>
      <c r="J967" s="5"/>
      <c r="M967" s="28"/>
      <c r="O967" s="25"/>
      <c r="P967" s="25"/>
      <c r="Q967" s="25"/>
      <c r="R967" s="10"/>
      <c r="S967" s="10"/>
      <c r="T967" s="14"/>
    </row>
    <row r="968">
      <c r="A968" s="37"/>
      <c r="B968" s="5"/>
      <c r="C968" s="5"/>
      <c r="D968" s="5"/>
      <c r="E968" s="9"/>
      <c r="F968" s="5"/>
      <c r="H968" s="28"/>
      <c r="I968" s="5"/>
      <c r="J968" s="5"/>
      <c r="M968" s="28"/>
      <c r="O968" s="25"/>
      <c r="P968" s="25"/>
      <c r="Q968" s="25"/>
      <c r="R968" s="10"/>
      <c r="S968" s="10"/>
      <c r="T968" s="14"/>
    </row>
    <row r="969">
      <c r="A969" s="37"/>
      <c r="B969" s="5"/>
      <c r="C969" s="5"/>
      <c r="D969" s="5"/>
      <c r="E969" s="9"/>
      <c r="F969" s="5"/>
      <c r="H969" s="28"/>
      <c r="I969" s="5"/>
      <c r="J969" s="5"/>
      <c r="M969" s="28"/>
      <c r="O969" s="25"/>
      <c r="P969" s="25"/>
      <c r="Q969" s="25"/>
      <c r="R969" s="10"/>
      <c r="S969" s="10"/>
      <c r="T969" s="14"/>
    </row>
    <row r="970">
      <c r="A970" s="37"/>
      <c r="B970" s="5"/>
      <c r="C970" s="5"/>
      <c r="D970" s="5"/>
      <c r="E970" s="9"/>
      <c r="F970" s="5"/>
      <c r="H970" s="28"/>
      <c r="I970" s="5"/>
      <c r="J970" s="5"/>
      <c r="M970" s="28"/>
      <c r="O970" s="25"/>
      <c r="P970" s="25"/>
      <c r="Q970" s="25"/>
      <c r="R970" s="10"/>
      <c r="S970" s="10"/>
      <c r="T970" s="14"/>
    </row>
    <row r="971">
      <c r="A971" s="37"/>
      <c r="B971" s="5"/>
      <c r="C971" s="5"/>
      <c r="D971" s="5"/>
      <c r="E971" s="9"/>
      <c r="F971" s="5"/>
      <c r="H971" s="28"/>
      <c r="I971" s="5"/>
      <c r="J971" s="5"/>
      <c r="M971" s="28"/>
      <c r="O971" s="25"/>
      <c r="P971" s="25"/>
      <c r="Q971" s="25"/>
      <c r="R971" s="10"/>
      <c r="S971" s="10"/>
      <c r="T971" s="14"/>
    </row>
    <row r="972">
      <c r="A972" s="37"/>
      <c r="B972" s="5"/>
      <c r="C972" s="5"/>
      <c r="D972" s="5"/>
      <c r="E972" s="9"/>
      <c r="F972" s="5"/>
      <c r="H972" s="28"/>
      <c r="I972" s="5"/>
      <c r="J972" s="5"/>
      <c r="M972" s="28"/>
      <c r="O972" s="25"/>
      <c r="P972" s="25"/>
      <c r="Q972" s="25"/>
      <c r="R972" s="10"/>
      <c r="S972" s="10"/>
      <c r="T972" s="14"/>
    </row>
    <row r="973">
      <c r="A973" s="37"/>
      <c r="B973" s="5"/>
      <c r="C973" s="5"/>
      <c r="D973" s="5"/>
      <c r="E973" s="9"/>
      <c r="F973" s="5"/>
      <c r="H973" s="28"/>
      <c r="I973" s="5"/>
      <c r="J973" s="5"/>
      <c r="M973" s="28"/>
      <c r="O973" s="25"/>
      <c r="P973" s="25"/>
      <c r="Q973" s="25"/>
      <c r="R973" s="10"/>
      <c r="S973" s="10"/>
      <c r="T973" s="14"/>
    </row>
    <row r="974">
      <c r="A974" s="37"/>
      <c r="B974" s="5"/>
      <c r="C974" s="5"/>
      <c r="D974" s="5"/>
      <c r="E974" s="9"/>
      <c r="F974" s="5"/>
      <c r="H974" s="28"/>
      <c r="I974" s="5"/>
      <c r="J974" s="5"/>
      <c r="M974" s="28"/>
      <c r="O974" s="25"/>
      <c r="P974" s="25"/>
      <c r="Q974" s="25"/>
      <c r="R974" s="10"/>
      <c r="S974" s="10"/>
      <c r="T974" s="14"/>
    </row>
    <row r="975">
      <c r="A975" s="37"/>
      <c r="B975" s="5"/>
      <c r="C975" s="5"/>
      <c r="D975" s="5"/>
      <c r="E975" s="9"/>
      <c r="F975" s="5"/>
      <c r="H975" s="28"/>
      <c r="I975" s="5"/>
      <c r="J975" s="5"/>
      <c r="M975" s="28"/>
      <c r="O975" s="25"/>
      <c r="P975" s="25"/>
      <c r="Q975" s="25"/>
      <c r="R975" s="10"/>
      <c r="S975" s="10"/>
      <c r="T975" s="14"/>
    </row>
    <row r="976">
      <c r="A976" s="37"/>
      <c r="B976" s="5"/>
      <c r="C976" s="5"/>
      <c r="D976" s="5"/>
      <c r="E976" s="9"/>
      <c r="F976" s="5"/>
      <c r="H976" s="28"/>
      <c r="I976" s="5"/>
      <c r="J976" s="5"/>
      <c r="M976" s="28"/>
      <c r="O976" s="25"/>
      <c r="P976" s="25"/>
      <c r="Q976" s="25"/>
      <c r="R976" s="10"/>
      <c r="S976" s="10"/>
      <c r="T976" s="14"/>
    </row>
    <row r="977">
      <c r="A977" s="37"/>
      <c r="B977" s="5"/>
      <c r="C977" s="5"/>
      <c r="D977" s="5"/>
      <c r="E977" s="9"/>
      <c r="F977" s="5"/>
      <c r="H977" s="28"/>
      <c r="I977" s="5"/>
      <c r="J977" s="5"/>
      <c r="M977" s="28"/>
      <c r="O977" s="25"/>
      <c r="P977" s="25"/>
      <c r="Q977" s="25"/>
      <c r="R977" s="10"/>
      <c r="S977" s="10"/>
      <c r="T977" s="14"/>
    </row>
    <row r="978">
      <c r="A978" s="37"/>
      <c r="B978" s="5"/>
      <c r="C978" s="5"/>
      <c r="D978" s="5"/>
      <c r="E978" s="9"/>
      <c r="F978" s="5"/>
      <c r="H978" s="28"/>
      <c r="I978" s="5"/>
      <c r="J978" s="5"/>
      <c r="M978" s="28"/>
      <c r="O978" s="25"/>
      <c r="P978" s="25"/>
      <c r="Q978" s="25"/>
      <c r="R978" s="10"/>
      <c r="S978" s="10"/>
      <c r="T978" s="14"/>
    </row>
    <row r="979">
      <c r="A979" s="37"/>
      <c r="B979" s="5"/>
      <c r="C979" s="5"/>
      <c r="D979" s="5"/>
      <c r="E979" s="9"/>
      <c r="F979" s="5"/>
      <c r="H979" s="28"/>
      <c r="I979" s="5"/>
      <c r="J979" s="5"/>
      <c r="M979" s="28"/>
      <c r="O979" s="25"/>
      <c r="P979" s="25"/>
      <c r="Q979" s="25"/>
      <c r="R979" s="10"/>
      <c r="S979" s="10"/>
      <c r="T979" s="14"/>
    </row>
    <row r="980">
      <c r="A980" s="37"/>
      <c r="B980" s="5"/>
      <c r="C980" s="5"/>
      <c r="D980" s="5"/>
      <c r="E980" s="9"/>
      <c r="F980" s="5"/>
      <c r="H980" s="28"/>
      <c r="I980" s="5"/>
      <c r="J980" s="5"/>
      <c r="M980" s="28"/>
      <c r="O980" s="25"/>
      <c r="P980" s="25"/>
      <c r="Q980" s="25"/>
      <c r="R980" s="10"/>
      <c r="S980" s="10"/>
      <c r="T980" s="14"/>
    </row>
    <row r="981">
      <c r="A981" s="37"/>
      <c r="B981" s="5"/>
      <c r="C981" s="5"/>
      <c r="D981" s="5"/>
      <c r="E981" s="9"/>
      <c r="F981" s="5"/>
      <c r="H981" s="28"/>
      <c r="I981" s="5"/>
      <c r="J981" s="5"/>
      <c r="M981" s="28"/>
      <c r="O981" s="25"/>
      <c r="P981" s="25"/>
      <c r="Q981" s="25"/>
      <c r="R981" s="10"/>
      <c r="S981" s="10"/>
      <c r="T981" s="14"/>
    </row>
    <row r="982">
      <c r="A982" s="37"/>
      <c r="B982" s="5"/>
      <c r="C982" s="5"/>
      <c r="D982" s="5"/>
      <c r="E982" s="9"/>
      <c r="F982" s="5"/>
      <c r="H982" s="28"/>
      <c r="I982" s="5"/>
      <c r="J982" s="5"/>
      <c r="M982" s="28"/>
      <c r="O982" s="25"/>
      <c r="P982" s="25"/>
      <c r="Q982" s="25"/>
      <c r="R982" s="10"/>
      <c r="S982" s="10"/>
      <c r="T982" s="14"/>
    </row>
    <row r="983">
      <c r="A983" s="37"/>
      <c r="B983" s="5"/>
      <c r="C983" s="5"/>
      <c r="D983" s="5"/>
      <c r="E983" s="9"/>
      <c r="F983" s="5"/>
      <c r="H983" s="28"/>
      <c r="I983" s="5"/>
      <c r="J983" s="5"/>
      <c r="M983" s="28"/>
      <c r="O983" s="25"/>
      <c r="P983" s="25"/>
      <c r="Q983" s="25"/>
      <c r="R983" s="10"/>
      <c r="S983" s="10"/>
      <c r="T983" s="14"/>
    </row>
    <row r="984">
      <c r="A984" s="37"/>
      <c r="B984" s="5"/>
      <c r="C984" s="5"/>
      <c r="D984" s="5"/>
      <c r="E984" s="9"/>
      <c r="F984" s="5"/>
      <c r="H984" s="28"/>
      <c r="I984" s="5"/>
      <c r="J984" s="5"/>
      <c r="M984" s="28"/>
      <c r="O984" s="25"/>
      <c r="P984" s="25"/>
      <c r="Q984" s="25"/>
      <c r="R984" s="10"/>
      <c r="S984" s="10"/>
      <c r="T984" s="14"/>
    </row>
    <row r="985">
      <c r="A985" s="37"/>
      <c r="B985" s="5"/>
      <c r="C985" s="5"/>
      <c r="D985" s="5"/>
      <c r="E985" s="9"/>
      <c r="F985" s="5"/>
      <c r="H985" s="28"/>
      <c r="I985" s="5"/>
      <c r="J985" s="5"/>
      <c r="M985" s="28"/>
      <c r="O985" s="25"/>
      <c r="P985" s="25"/>
      <c r="Q985" s="25"/>
      <c r="R985" s="10"/>
      <c r="S985" s="10"/>
      <c r="T985" s="14"/>
    </row>
    <row r="986">
      <c r="A986" s="37"/>
      <c r="B986" s="5"/>
      <c r="C986" s="5"/>
      <c r="D986" s="5"/>
      <c r="E986" s="9"/>
      <c r="F986" s="5"/>
      <c r="H986" s="28"/>
      <c r="I986" s="5"/>
      <c r="J986" s="5"/>
      <c r="M986" s="28"/>
      <c r="O986" s="25"/>
      <c r="P986" s="25"/>
      <c r="Q986" s="25"/>
      <c r="R986" s="10"/>
      <c r="S986" s="10"/>
      <c r="T986" s="14"/>
    </row>
    <row r="987">
      <c r="A987" s="37"/>
      <c r="B987" s="5"/>
      <c r="C987" s="5"/>
      <c r="D987" s="5"/>
      <c r="E987" s="9"/>
      <c r="F987" s="5"/>
      <c r="H987" s="28"/>
      <c r="I987" s="5"/>
      <c r="J987" s="5"/>
      <c r="M987" s="28"/>
      <c r="O987" s="25"/>
      <c r="P987" s="25"/>
      <c r="Q987" s="25"/>
      <c r="R987" s="10"/>
      <c r="S987" s="10"/>
      <c r="T987" s="14"/>
    </row>
    <row r="988">
      <c r="A988" s="37"/>
      <c r="B988" s="5"/>
      <c r="C988" s="5"/>
      <c r="D988" s="5"/>
      <c r="E988" s="9"/>
      <c r="F988" s="5"/>
      <c r="H988" s="28"/>
      <c r="I988" s="5"/>
      <c r="J988" s="5"/>
      <c r="M988" s="28"/>
      <c r="O988" s="25"/>
      <c r="P988" s="25"/>
      <c r="Q988" s="25"/>
      <c r="R988" s="10"/>
      <c r="S988" s="10"/>
      <c r="T988" s="14"/>
    </row>
    <row r="989">
      <c r="A989" s="37"/>
      <c r="B989" s="5"/>
      <c r="C989" s="5"/>
      <c r="D989" s="5"/>
      <c r="E989" s="9"/>
      <c r="F989" s="5"/>
      <c r="H989" s="28"/>
      <c r="I989" s="5"/>
      <c r="J989" s="5"/>
      <c r="M989" s="28"/>
      <c r="O989" s="25"/>
      <c r="P989" s="25"/>
      <c r="Q989" s="25"/>
      <c r="R989" s="10"/>
      <c r="S989" s="10"/>
      <c r="T989" s="14"/>
    </row>
    <row r="990">
      <c r="A990" s="37"/>
      <c r="B990" s="5"/>
      <c r="C990" s="5"/>
      <c r="D990" s="5"/>
      <c r="E990" s="9"/>
      <c r="F990" s="5"/>
      <c r="H990" s="28"/>
      <c r="I990" s="5"/>
      <c r="J990" s="5"/>
      <c r="M990" s="28"/>
      <c r="O990" s="25"/>
      <c r="P990" s="25"/>
      <c r="Q990" s="25"/>
      <c r="R990" s="10"/>
      <c r="S990" s="10"/>
      <c r="T990" s="14"/>
    </row>
    <row r="991">
      <c r="A991" s="37"/>
      <c r="B991" s="5"/>
      <c r="C991" s="5"/>
      <c r="D991" s="5"/>
      <c r="E991" s="9"/>
      <c r="F991" s="5"/>
      <c r="H991" s="28"/>
      <c r="I991" s="5"/>
      <c r="J991" s="5"/>
      <c r="M991" s="28"/>
      <c r="O991" s="25"/>
      <c r="P991" s="25"/>
      <c r="Q991" s="25"/>
      <c r="R991" s="10"/>
      <c r="S991" s="10"/>
      <c r="T991" s="14"/>
    </row>
    <row r="992">
      <c r="A992" s="37"/>
      <c r="B992" s="5"/>
      <c r="C992" s="5"/>
      <c r="D992" s="5"/>
      <c r="E992" s="9"/>
      <c r="F992" s="5"/>
      <c r="H992" s="28"/>
      <c r="I992" s="5"/>
      <c r="J992" s="5"/>
      <c r="M992" s="28"/>
      <c r="O992" s="25"/>
      <c r="P992" s="25"/>
      <c r="Q992" s="25"/>
      <c r="R992" s="10"/>
      <c r="S992" s="10"/>
      <c r="T992" s="14"/>
    </row>
    <row r="993">
      <c r="A993" s="37"/>
      <c r="B993" s="5"/>
      <c r="C993" s="5"/>
      <c r="D993" s="5"/>
      <c r="E993" s="9"/>
      <c r="F993" s="5"/>
      <c r="H993" s="28"/>
      <c r="I993" s="5"/>
      <c r="J993" s="5"/>
      <c r="M993" s="28"/>
      <c r="O993" s="25"/>
      <c r="P993" s="25"/>
      <c r="Q993" s="25"/>
      <c r="R993" s="10"/>
      <c r="S993" s="10"/>
      <c r="T993" s="14"/>
    </row>
    <row r="994">
      <c r="A994" s="37"/>
      <c r="B994" s="5"/>
      <c r="C994" s="5"/>
      <c r="D994" s="5"/>
      <c r="E994" s="9"/>
      <c r="F994" s="5"/>
      <c r="H994" s="28"/>
      <c r="I994" s="5"/>
      <c r="J994" s="5"/>
      <c r="M994" s="28"/>
      <c r="O994" s="25"/>
      <c r="P994" s="25"/>
      <c r="Q994" s="25"/>
      <c r="R994" s="10"/>
      <c r="S994" s="10"/>
      <c r="T994" s="14"/>
    </row>
    <row r="995">
      <c r="A995" s="37"/>
      <c r="B995" s="5"/>
      <c r="C995" s="5"/>
      <c r="D995" s="5"/>
      <c r="E995" s="9"/>
      <c r="F995" s="5"/>
      <c r="H995" s="28"/>
      <c r="I995" s="5"/>
      <c r="J995" s="5"/>
      <c r="M995" s="28"/>
      <c r="O995" s="25"/>
      <c r="P995" s="25"/>
      <c r="Q995" s="25"/>
      <c r="R995" s="10"/>
      <c r="S995" s="10"/>
      <c r="T995" s="14"/>
    </row>
    <row r="996">
      <c r="A996" s="37"/>
      <c r="B996" s="5"/>
      <c r="C996" s="5"/>
      <c r="D996" s="5"/>
      <c r="E996" s="9"/>
      <c r="F996" s="5"/>
      <c r="H996" s="28"/>
      <c r="I996" s="5"/>
      <c r="J996" s="5"/>
      <c r="M996" s="28"/>
      <c r="O996" s="25"/>
      <c r="P996" s="25"/>
      <c r="Q996" s="25"/>
      <c r="R996" s="10"/>
      <c r="S996" s="10"/>
      <c r="T996" s="14"/>
    </row>
    <row r="997">
      <c r="A997" s="37"/>
      <c r="B997" s="5"/>
      <c r="C997" s="5"/>
      <c r="D997" s="5"/>
      <c r="E997" s="9"/>
      <c r="F997" s="5"/>
      <c r="H997" s="28"/>
      <c r="I997" s="5"/>
      <c r="J997" s="5"/>
      <c r="M997" s="28"/>
      <c r="O997" s="25"/>
      <c r="P997" s="25"/>
      <c r="Q997" s="25"/>
      <c r="R997" s="10"/>
      <c r="S997" s="10"/>
      <c r="T997" s="14"/>
    </row>
    <row r="998">
      <c r="A998" s="37"/>
      <c r="B998" s="5"/>
      <c r="C998" s="5"/>
      <c r="D998" s="5"/>
      <c r="E998" s="9"/>
      <c r="F998" s="5"/>
      <c r="H998" s="28"/>
      <c r="I998" s="5"/>
      <c r="J998" s="5"/>
      <c r="M998" s="28"/>
      <c r="O998" s="25"/>
      <c r="P998" s="25"/>
      <c r="Q998" s="25"/>
      <c r="R998" s="10"/>
      <c r="S998" s="10"/>
      <c r="T998" s="14"/>
    </row>
    <row r="999">
      <c r="A999" s="37"/>
      <c r="B999" s="5"/>
      <c r="C999" s="5"/>
      <c r="D999" s="5"/>
      <c r="E999" s="9"/>
      <c r="F999" s="5"/>
      <c r="H999" s="28"/>
      <c r="I999" s="5"/>
      <c r="J999" s="5"/>
      <c r="M999" s="28"/>
      <c r="O999" s="25"/>
      <c r="P999" s="25"/>
      <c r="Q999" s="25"/>
      <c r="R999" s="10"/>
      <c r="S999" s="10"/>
      <c r="T999" s="14"/>
    </row>
    <row r="1000">
      <c r="A1000" s="37"/>
      <c r="B1000" s="5"/>
      <c r="C1000" s="5"/>
      <c r="D1000" s="5"/>
      <c r="E1000" s="9"/>
      <c r="F1000" s="5"/>
      <c r="H1000" s="28"/>
      <c r="I1000" s="5"/>
      <c r="J1000" s="5"/>
      <c r="M1000" s="28"/>
      <c r="O1000" s="25"/>
      <c r="P1000" s="25"/>
      <c r="Q1000" s="25"/>
      <c r="R1000" s="10"/>
      <c r="S1000" s="10"/>
      <c r="T1000" s="14"/>
    </row>
  </sheetData>
  <conditionalFormatting sqref="G2:G1000 K2:K18 L4:L1000">
    <cfRule type="cellIs" dxfId="0" priority="1" operator="greaterThan">
      <formula>0</formula>
    </cfRule>
  </conditionalFormatting>
  <conditionalFormatting sqref="G2:G1000 K2:K18 L4:L1000">
    <cfRule type="cellIs" dxfId="1" priority="2" operator="lessThan">
      <formula>0</formula>
    </cfRule>
  </conditionalFormatting>
  <conditionalFormatting sqref="H1:H1000 L1 T1">
    <cfRule type="cellIs" dxfId="0" priority="3" operator="greaterThan">
      <formula>0</formula>
    </cfRule>
  </conditionalFormatting>
  <conditionalFormatting sqref="H1:H1000 L1 T1">
    <cfRule type="cellIs" dxfId="1" priority="4" operator="lessThan">
      <formula>0</formula>
    </cfRule>
  </conditionalFormatting>
  <conditionalFormatting sqref="L1:L18 M4:M1000">
    <cfRule type="cellIs" dxfId="0" priority="5" operator="greaterThan">
      <formula>0</formula>
    </cfRule>
  </conditionalFormatting>
  <conditionalFormatting sqref="L1:L18 M4:M1000">
    <cfRule type="cellIs" dxfId="1" priority="6" operator="lessThan">
      <formula>0</formula>
    </cfRule>
  </conditionalFormatting>
  <conditionalFormatting sqref="S1:S1000">
    <cfRule type="cellIs" dxfId="1" priority="7" operator="greaterThan">
      <formula>0</formula>
    </cfRule>
  </conditionalFormatting>
  <conditionalFormatting sqref="S1:S1000">
    <cfRule type="cellIs" dxfId="0" priority="8" operator="lessThan">
      <formula>0</formula>
    </cfRule>
  </conditionalFormatting>
  <conditionalFormatting sqref="T1:T1000">
    <cfRule type="cellIs" dxfId="0" priority="9" operator="lessThan">
      <formula>0</formula>
    </cfRule>
  </conditionalFormatting>
  <conditionalFormatting sqref="T1:T1000">
    <cfRule type="cellIs" dxfId="1" priority="10" operator="greaterThan">
      <formula>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0</v>
      </c>
      <c r="G1" s="28"/>
      <c r="H1" s="1" t="s">
        <v>46</v>
      </c>
      <c r="I1" s="5">
        <f>I6-I7</f>
        <v>836</v>
      </c>
      <c r="J1" s="9">
        <f>I1/COUNTIF(N:N, "&gt;=" &amp; TODAY())</f>
        <v>27.86666667</v>
      </c>
      <c r="K1" s="1" t="s">
        <v>47</v>
      </c>
      <c r="L1" s="5">
        <f t="shared" ref="L1:L7" si="2">SUMIF(B:B,K1,C:I)</f>
        <v>0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46266.0</v>
      </c>
      <c r="B2" s="4" t="s">
        <v>8</v>
      </c>
      <c r="C2" s="21">
        <v>750.0</v>
      </c>
      <c r="E2" s="1" t="s">
        <v>52</v>
      </c>
      <c r="F2" s="5">
        <f t="shared" si="1"/>
        <v>0</v>
      </c>
      <c r="G2" s="28"/>
      <c r="H2" s="1" t="s">
        <v>6</v>
      </c>
      <c r="I2" s="5">
        <f>SUMIF(B:B,H2,C:C)</f>
        <v>750</v>
      </c>
      <c r="K2" s="1" t="s">
        <v>53</v>
      </c>
      <c r="L2" s="5">
        <f t="shared" si="2"/>
        <v>0</v>
      </c>
      <c r="N2" s="39">
        <v>46266.0</v>
      </c>
      <c r="O2" s="40">
        <f t="shared" ref="O2:O31" si="3">sumif(A:A,N2,C:C)</f>
        <v>2645</v>
      </c>
      <c r="P2" s="40">
        <f>SUM(O2)</f>
        <v>2645</v>
      </c>
      <c r="Q2" s="5">
        <f t="shared" ref="Q2:Q31" si="4">P2/(ROW()-1)</f>
        <v>2645</v>
      </c>
      <c r="R2" s="9">
        <f t="shared" ref="R2:R31" si="5">count(N:N)*Q2</f>
        <v>79350</v>
      </c>
      <c r="T2" s="9"/>
      <c r="U2" s="9"/>
    </row>
    <row r="3">
      <c r="A3" s="39">
        <v>46266.0</v>
      </c>
      <c r="B3" s="4" t="s">
        <v>54</v>
      </c>
      <c r="C3" s="41">
        <f>800+200</f>
        <v>1000</v>
      </c>
      <c r="E3" s="1" t="s">
        <v>55</v>
      </c>
      <c r="F3" s="5">
        <f t="shared" si="1"/>
        <v>0</v>
      </c>
      <c r="G3" s="28"/>
      <c r="H3" s="1" t="s">
        <v>8</v>
      </c>
      <c r="I3" s="5">
        <f>SUMIF(B:B,H3,C:C)+I1</f>
        <v>1586</v>
      </c>
      <c r="K3" s="1" t="s">
        <v>56</v>
      </c>
      <c r="L3" s="5">
        <f t="shared" si="2"/>
        <v>0</v>
      </c>
      <c r="N3" s="39">
        <v>46267.0</v>
      </c>
      <c r="O3" s="40">
        <f t="shared" si="3"/>
        <v>0</v>
      </c>
      <c r="P3" s="40">
        <f t="shared" ref="P3:P31" si="6">P2+O3</f>
        <v>2645</v>
      </c>
      <c r="Q3" s="5">
        <f t="shared" si="4"/>
        <v>1322.5</v>
      </c>
      <c r="R3" s="9">
        <f t="shared" si="5"/>
        <v>39675</v>
      </c>
    </row>
    <row r="4">
      <c r="A4" s="39">
        <v>46266.0</v>
      </c>
      <c r="B4" s="4" t="s">
        <v>6</v>
      </c>
      <c r="C4" s="21">
        <v>750.0</v>
      </c>
      <c r="E4" s="1" t="s">
        <v>57</v>
      </c>
      <c r="F4" s="5">
        <f>SUMIF(B:B,"*"&amp;E4&amp;"*",C:C)+SUM(L1:L7)</f>
        <v>0</v>
      </c>
      <c r="G4" s="28"/>
      <c r="H4" s="1" t="s">
        <v>58</v>
      </c>
      <c r="I4" s="5">
        <f>I2+I3</f>
        <v>2336</v>
      </c>
      <c r="K4" s="1" t="s">
        <v>59</v>
      </c>
      <c r="L4" s="5">
        <f t="shared" si="2"/>
        <v>0</v>
      </c>
      <c r="N4" s="39">
        <v>46268.0</v>
      </c>
      <c r="O4" s="40">
        <f t="shared" si="3"/>
        <v>0</v>
      </c>
      <c r="P4" s="40">
        <f t="shared" si="6"/>
        <v>2645</v>
      </c>
      <c r="Q4" s="5">
        <f t="shared" si="4"/>
        <v>881.6666667</v>
      </c>
      <c r="R4" s="9">
        <f t="shared" si="5"/>
        <v>26450</v>
      </c>
    </row>
    <row r="5">
      <c r="A5" s="39">
        <v>46266.0</v>
      </c>
      <c r="B5" s="4" t="s">
        <v>60</v>
      </c>
      <c r="C5" s="21">
        <v>82.0</v>
      </c>
      <c r="E5" s="42" t="s">
        <v>61</v>
      </c>
      <c r="F5" s="5">
        <f t="shared" ref="F5:F12" si="7">SUMIF(B:B,"*"&amp;E5&amp;"*",C:C)</f>
        <v>9</v>
      </c>
      <c r="G5" s="28"/>
      <c r="K5" s="1" t="s">
        <v>62</v>
      </c>
      <c r="L5" s="5">
        <f t="shared" si="2"/>
        <v>0</v>
      </c>
      <c r="N5" s="39">
        <v>46269.0</v>
      </c>
      <c r="O5" s="40">
        <f t="shared" si="3"/>
        <v>0</v>
      </c>
      <c r="P5" s="40">
        <f t="shared" si="6"/>
        <v>2645</v>
      </c>
      <c r="Q5" s="5">
        <f t="shared" si="4"/>
        <v>661.25</v>
      </c>
      <c r="R5" s="9">
        <f t="shared" si="5"/>
        <v>19837.5</v>
      </c>
    </row>
    <row r="6">
      <c r="A6" s="39">
        <v>46266.0</v>
      </c>
      <c r="B6" s="4" t="s">
        <v>63</v>
      </c>
      <c r="C6" s="21">
        <v>32.0</v>
      </c>
      <c r="E6" s="1" t="s">
        <v>64</v>
      </c>
      <c r="F6" s="5">
        <f t="shared" si="7"/>
        <v>0</v>
      </c>
      <c r="G6" s="28"/>
      <c r="H6" s="1" t="s">
        <v>65</v>
      </c>
      <c r="I6" s="21">
        <v>3481.0</v>
      </c>
      <c r="K6" s="1" t="s">
        <v>66</v>
      </c>
      <c r="L6" s="5">
        <f t="shared" si="2"/>
        <v>0</v>
      </c>
      <c r="N6" s="39">
        <v>46270.0</v>
      </c>
      <c r="O6" s="40">
        <f t="shared" si="3"/>
        <v>0</v>
      </c>
      <c r="P6" s="40">
        <f t="shared" si="6"/>
        <v>2645</v>
      </c>
      <c r="Q6" s="5">
        <f t="shared" si="4"/>
        <v>529</v>
      </c>
      <c r="R6" s="9">
        <f t="shared" si="5"/>
        <v>15870</v>
      </c>
    </row>
    <row r="7">
      <c r="A7" s="39">
        <v>46266.0</v>
      </c>
      <c r="B7" s="4" t="s">
        <v>67</v>
      </c>
      <c r="C7" s="21">
        <v>22.0</v>
      </c>
      <c r="E7" s="1" t="s">
        <v>54</v>
      </c>
      <c r="F7" s="5">
        <f t="shared" si="7"/>
        <v>1032</v>
      </c>
      <c r="G7" s="28"/>
      <c r="H7" s="1" t="s">
        <v>68</v>
      </c>
      <c r="I7" s="5">
        <f>sum(C:C)</f>
        <v>2645</v>
      </c>
      <c r="K7" s="1" t="s">
        <v>69</v>
      </c>
      <c r="L7" s="5">
        <f t="shared" si="2"/>
        <v>0</v>
      </c>
      <c r="N7" s="39">
        <v>46271.0</v>
      </c>
      <c r="O7" s="40">
        <f t="shared" si="3"/>
        <v>0</v>
      </c>
      <c r="P7" s="40">
        <f t="shared" si="6"/>
        <v>2645</v>
      </c>
      <c r="Q7" s="5">
        <f t="shared" si="4"/>
        <v>440.8333333</v>
      </c>
      <c r="R7" s="9">
        <f t="shared" si="5"/>
        <v>13225</v>
      </c>
    </row>
    <row r="8">
      <c r="A8" s="39">
        <v>46266.0</v>
      </c>
      <c r="B8" s="4" t="s">
        <v>70</v>
      </c>
      <c r="C8" s="21">
        <v>9.0</v>
      </c>
      <c r="E8" s="1" t="s">
        <v>71</v>
      </c>
      <c r="F8" s="5">
        <f t="shared" si="7"/>
        <v>0</v>
      </c>
      <c r="G8" s="28"/>
      <c r="H8" s="1" t="s">
        <v>72</v>
      </c>
      <c r="I8" s="5">
        <f>sum(F:F)+I2+C2</f>
        <v>2645</v>
      </c>
      <c r="N8" s="39">
        <v>46272.0</v>
      </c>
      <c r="O8" s="40">
        <f t="shared" si="3"/>
        <v>0</v>
      </c>
      <c r="P8" s="40">
        <f t="shared" si="6"/>
        <v>2645</v>
      </c>
      <c r="Q8" s="5">
        <f t="shared" si="4"/>
        <v>377.8571429</v>
      </c>
      <c r="R8" s="9">
        <f t="shared" si="5"/>
        <v>11335.71429</v>
      </c>
    </row>
    <row r="9">
      <c r="A9" s="39"/>
      <c r="C9" s="21"/>
      <c r="E9" s="1" t="s">
        <v>73</v>
      </c>
      <c r="F9" s="5">
        <f t="shared" si="7"/>
        <v>0</v>
      </c>
      <c r="G9" s="28"/>
      <c r="H9" s="1" t="s">
        <v>74</v>
      </c>
      <c r="I9" s="5">
        <f>I7-I8</f>
        <v>0</v>
      </c>
      <c r="N9" s="39">
        <v>46273.0</v>
      </c>
      <c r="O9" s="40">
        <f t="shared" si="3"/>
        <v>0</v>
      </c>
      <c r="P9" s="40">
        <f t="shared" si="6"/>
        <v>2645</v>
      </c>
      <c r="Q9" s="5">
        <f t="shared" si="4"/>
        <v>330.625</v>
      </c>
      <c r="R9" s="9">
        <f t="shared" si="5"/>
        <v>9918.75</v>
      </c>
    </row>
    <row r="10">
      <c r="A10" s="39"/>
      <c r="C10" s="21"/>
      <c r="E10" s="1" t="s">
        <v>75</v>
      </c>
      <c r="F10" s="5">
        <f t="shared" si="7"/>
        <v>22</v>
      </c>
      <c r="G10" s="28"/>
      <c r="N10" s="39">
        <v>46274.0</v>
      </c>
      <c r="O10" s="40">
        <f t="shared" si="3"/>
        <v>0</v>
      </c>
      <c r="P10" s="40">
        <f t="shared" si="6"/>
        <v>2645</v>
      </c>
      <c r="Q10" s="5">
        <f t="shared" si="4"/>
        <v>293.8888889</v>
      </c>
      <c r="R10" s="9">
        <f t="shared" si="5"/>
        <v>8816.666667</v>
      </c>
    </row>
    <row r="11">
      <c r="A11" s="39"/>
      <c r="C11" s="21"/>
      <c r="E11" s="1" t="s">
        <v>76</v>
      </c>
      <c r="F11" s="5">
        <f t="shared" si="7"/>
        <v>0</v>
      </c>
      <c r="G11" s="28"/>
      <c r="H11" s="1" t="s">
        <v>3</v>
      </c>
      <c r="I11" s="28">
        <f>I4/I6</f>
        <v>0.6710715312</v>
      </c>
      <c r="N11" s="39">
        <v>46275.0</v>
      </c>
      <c r="O11" s="40">
        <f t="shared" si="3"/>
        <v>0</v>
      </c>
      <c r="P11" s="40">
        <f t="shared" si="6"/>
        <v>2645</v>
      </c>
      <c r="Q11" s="5">
        <f t="shared" si="4"/>
        <v>264.5</v>
      </c>
      <c r="R11" s="9">
        <f t="shared" si="5"/>
        <v>7935</v>
      </c>
    </row>
    <row r="12">
      <c r="A12" s="39"/>
      <c r="C12" s="21"/>
      <c r="E12" s="1" t="s">
        <v>77</v>
      </c>
      <c r="F12" s="5">
        <f t="shared" si="7"/>
        <v>82</v>
      </c>
      <c r="G12" s="28"/>
      <c r="N12" s="39">
        <v>46276.0</v>
      </c>
      <c r="O12" s="40">
        <f t="shared" si="3"/>
        <v>0</v>
      </c>
      <c r="P12" s="40">
        <f t="shared" si="6"/>
        <v>2645</v>
      </c>
      <c r="Q12" s="5">
        <f t="shared" si="4"/>
        <v>240.4545455</v>
      </c>
      <c r="R12" s="9">
        <f t="shared" si="5"/>
        <v>7213.636364</v>
      </c>
    </row>
    <row r="13">
      <c r="A13" s="39"/>
      <c r="C13" s="21"/>
      <c r="E13" s="1"/>
      <c r="F13" s="5"/>
      <c r="N13" s="39">
        <v>46277.0</v>
      </c>
      <c r="O13" s="40">
        <f t="shared" si="3"/>
        <v>0</v>
      </c>
      <c r="P13" s="40">
        <f t="shared" si="6"/>
        <v>2645</v>
      </c>
      <c r="Q13" s="5">
        <f t="shared" si="4"/>
        <v>220.4166667</v>
      </c>
      <c r="R13" s="9">
        <f t="shared" si="5"/>
        <v>6612.5</v>
      </c>
    </row>
    <row r="14">
      <c r="A14" s="39"/>
      <c r="C14" s="21"/>
      <c r="E14" s="1"/>
      <c r="F14" s="5"/>
      <c r="H14" s="19"/>
      <c r="N14" s="39">
        <v>46278.0</v>
      </c>
      <c r="O14" s="40">
        <f t="shared" si="3"/>
        <v>0</v>
      </c>
      <c r="P14" s="40">
        <f t="shared" si="6"/>
        <v>2645</v>
      </c>
      <c r="Q14" s="5">
        <f t="shared" si="4"/>
        <v>203.4615385</v>
      </c>
      <c r="R14" s="9">
        <f t="shared" si="5"/>
        <v>6103.846154</v>
      </c>
    </row>
    <row r="15">
      <c r="A15" s="39"/>
      <c r="C15" s="21"/>
      <c r="E15" s="1"/>
      <c r="H15" s="1"/>
      <c r="N15" s="39">
        <v>46279.0</v>
      </c>
      <c r="O15" s="40">
        <f t="shared" si="3"/>
        <v>0</v>
      </c>
      <c r="P15" s="40">
        <f t="shared" si="6"/>
        <v>2645</v>
      </c>
      <c r="Q15" s="5">
        <f t="shared" si="4"/>
        <v>188.9285714</v>
      </c>
      <c r="R15" s="9">
        <f t="shared" si="5"/>
        <v>5667.857143</v>
      </c>
    </row>
    <row r="16">
      <c r="A16" s="39"/>
      <c r="C16" s="21"/>
      <c r="H16" s="19"/>
      <c r="N16" s="39">
        <v>46280.0</v>
      </c>
      <c r="O16" s="40">
        <f t="shared" si="3"/>
        <v>0</v>
      </c>
      <c r="P16" s="40">
        <f t="shared" si="6"/>
        <v>2645</v>
      </c>
      <c r="Q16" s="5">
        <f t="shared" si="4"/>
        <v>176.3333333</v>
      </c>
      <c r="R16" s="9">
        <f t="shared" si="5"/>
        <v>5290</v>
      </c>
    </row>
    <row r="17">
      <c r="A17" s="39"/>
      <c r="C17" s="21"/>
      <c r="H17" s="19"/>
      <c r="N17" s="39">
        <v>46281.0</v>
      </c>
      <c r="O17" s="40">
        <f t="shared" si="3"/>
        <v>0</v>
      </c>
      <c r="P17" s="40">
        <f t="shared" si="6"/>
        <v>2645</v>
      </c>
      <c r="Q17" s="5">
        <f t="shared" si="4"/>
        <v>165.3125</v>
      </c>
      <c r="R17" s="9">
        <f t="shared" si="5"/>
        <v>4959.375</v>
      </c>
    </row>
    <row r="18">
      <c r="A18" s="39"/>
      <c r="C18" s="21"/>
      <c r="H18" s="19"/>
      <c r="N18" s="39">
        <v>46282.0</v>
      </c>
      <c r="O18" s="40">
        <f t="shared" si="3"/>
        <v>0</v>
      </c>
      <c r="P18" s="40">
        <f t="shared" si="6"/>
        <v>2645</v>
      </c>
      <c r="Q18" s="5">
        <f t="shared" si="4"/>
        <v>155.5882353</v>
      </c>
      <c r="R18" s="9">
        <f t="shared" si="5"/>
        <v>4667.647059</v>
      </c>
    </row>
    <row r="19">
      <c r="A19" s="39"/>
      <c r="C19" s="21"/>
      <c r="H19" s="19"/>
      <c r="N19" s="39">
        <v>46283.0</v>
      </c>
      <c r="O19" s="40">
        <f t="shared" si="3"/>
        <v>0</v>
      </c>
      <c r="P19" s="40">
        <f t="shared" si="6"/>
        <v>2645</v>
      </c>
      <c r="Q19" s="5">
        <f t="shared" si="4"/>
        <v>146.9444444</v>
      </c>
      <c r="R19" s="9">
        <f t="shared" si="5"/>
        <v>4408.333333</v>
      </c>
    </row>
    <row r="20">
      <c r="A20" s="39"/>
      <c r="C20" s="21"/>
      <c r="H20" s="19"/>
      <c r="N20" s="39">
        <v>46284.0</v>
      </c>
      <c r="O20" s="40">
        <f t="shared" si="3"/>
        <v>0</v>
      </c>
      <c r="P20" s="40">
        <f t="shared" si="6"/>
        <v>2645</v>
      </c>
      <c r="Q20" s="5">
        <f t="shared" si="4"/>
        <v>139.2105263</v>
      </c>
      <c r="R20" s="9">
        <f t="shared" si="5"/>
        <v>4176.315789</v>
      </c>
    </row>
    <row r="21">
      <c r="A21" s="39"/>
      <c r="C21" s="21"/>
      <c r="E21" s="19"/>
      <c r="F21" s="5"/>
      <c r="H21" s="19"/>
      <c r="N21" s="39">
        <v>46285.0</v>
      </c>
      <c r="O21" s="40">
        <f t="shared" si="3"/>
        <v>0</v>
      </c>
      <c r="P21" s="40">
        <f t="shared" si="6"/>
        <v>2645</v>
      </c>
      <c r="Q21" s="5">
        <f t="shared" si="4"/>
        <v>132.25</v>
      </c>
      <c r="R21" s="9">
        <f t="shared" si="5"/>
        <v>3967.5</v>
      </c>
    </row>
    <row r="22">
      <c r="A22" s="39"/>
      <c r="C22" s="21"/>
      <c r="E22" s="19"/>
      <c r="F22" s="5"/>
      <c r="H22" s="19"/>
      <c r="N22" s="39">
        <v>46286.0</v>
      </c>
      <c r="O22" s="40">
        <f t="shared" si="3"/>
        <v>0</v>
      </c>
      <c r="P22" s="40">
        <f t="shared" si="6"/>
        <v>2645</v>
      </c>
      <c r="Q22" s="5">
        <f t="shared" si="4"/>
        <v>125.952381</v>
      </c>
      <c r="R22" s="9">
        <f t="shared" si="5"/>
        <v>3778.571429</v>
      </c>
    </row>
    <row r="23">
      <c r="A23" s="39"/>
      <c r="C23" s="21"/>
      <c r="E23" s="19"/>
      <c r="F23" s="5"/>
      <c r="H23" s="19"/>
      <c r="N23" s="39">
        <v>46287.0</v>
      </c>
      <c r="O23" s="40">
        <f t="shared" si="3"/>
        <v>0</v>
      </c>
      <c r="P23" s="40">
        <f t="shared" si="6"/>
        <v>2645</v>
      </c>
      <c r="Q23" s="5">
        <f t="shared" si="4"/>
        <v>120.2272727</v>
      </c>
      <c r="R23" s="9">
        <f t="shared" si="5"/>
        <v>3606.818182</v>
      </c>
    </row>
    <row r="24">
      <c r="A24" s="39"/>
      <c r="C24" s="21"/>
      <c r="F24" s="5"/>
      <c r="H24" s="19"/>
      <c r="N24" s="39">
        <v>46288.0</v>
      </c>
      <c r="O24" s="40">
        <f t="shared" si="3"/>
        <v>0</v>
      </c>
      <c r="P24" s="40">
        <f t="shared" si="6"/>
        <v>2645</v>
      </c>
      <c r="Q24" s="5">
        <f t="shared" si="4"/>
        <v>115</v>
      </c>
      <c r="R24" s="9">
        <f t="shared" si="5"/>
        <v>3450</v>
      </c>
    </row>
    <row r="25">
      <c r="A25" s="39"/>
      <c r="C25" s="5"/>
      <c r="F25" s="5"/>
      <c r="H25" s="19"/>
      <c r="N25" s="39">
        <v>46289.0</v>
      </c>
      <c r="O25" s="40">
        <f t="shared" si="3"/>
        <v>0</v>
      </c>
      <c r="P25" s="40">
        <f t="shared" si="6"/>
        <v>2645</v>
      </c>
      <c r="Q25" s="5">
        <f t="shared" si="4"/>
        <v>110.2083333</v>
      </c>
      <c r="R25" s="9">
        <f t="shared" si="5"/>
        <v>3306.25</v>
      </c>
    </row>
    <row r="26">
      <c r="A26" s="39"/>
      <c r="C26" s="21"/>
      <c r="F26" s="5"/>
      <c r="H26" s="19"/>
      <c r="N26" s="39">
        <v>46290.0</v>
      </c>
      <c r="O26" s="40">
        <f t="shared" si="3"/>
        <v>0</v>
      </c>
      <c r="P26" s="40">
        <f t="shared" si="6"/>
        <v>2645</v>
      </c>
      <c r="Q26" s="5">
        <f t="shared" si="4"/>
        <v>105.8</v>
      </c>
      <c r="R26" s="9">
        <f t="shared" si="5"/>
        <v>3174</v>
      </c>
    </row>
    <row r="27">
      <c r="A27" s="39"/>
      <c r="C27" s="21"/>
      <c r="F27" s="5"/>
      <c r="H27" s="19"/>
      <c r="N27" s="39">
        <v>46291.0</v>
      </c>
      <c r="O27" s="40">
        <f t="shared" si="3"/>
        <v>0</v>
      </c>
      <c r="P27" s="40">
        <f t="shared" si="6"/>
        <v>2645</v>
      </c>
      <c r="Q27" s="5">
        <f t="shared" si="4"/>
        <v>101.7307692</v>
      </c>
      <c r="R27" s="9">
        <f t="shared" si="5"/>
        <v>3051.923077</v>
      </c>
    </row>
    <row r="28">
      <c r="A28" s="39"/>
      <c r="C28" s="21"/>
      <c r="F28" s="5"/>
      <c r="H28" s="19"/>
      <c r="N28" s="39">
        <v>46292.0</v>
      </c>
      <c r="O28" s="40">
        <f t="shared" si="3"/>
        <v>0</v>
      </c>
      <c r="P28" s="40">
        <f t="shared" si="6"/>
        <v>2645</v>
      </c>
      <c r="Q28" s="5">
        <f t="shared" si="4"/>
        <v>97.96296296</v>
      </c>
      <c r="R28" s="9">
        <f t="shared" si="5"/>
        <v>2938.888889</v>
      </c>
    </row>
    <row r="29">
      <c r="A29" s="39"/>
      <c r="C29" s="21"/>
      <c r="F29" s="5"/>
      <c r="H29" s="19"/>
      <c r="N29" s="39">
        <v>46293.0</v>
      </c>
      <c r="O29" s="40">
        <f t="shared" si="3"/>
        <v>0</v>
      </c>
      <c r="P29" s="40">
        <f t="shared" si="6"/>
        <v>2645</v>
      </c>
      <c r="Q29" s="5">
        <f t="shared" si="4"/>
        <v>94.46428571</v>
      </c>
      <c r="R29" s="9">
        <f t="shared" si="5"/>
        <v>2833.928571</v>
      </c>
    </row>
    <row r="30">
      <c r="A30" s="39"/>
      <c r="C30" s="21"/>
      <c r="F30" s="5"/>
      <c r="H30" s="19"/>
      <c r="N30" s="39">
        <v>46294.0</v>
      </c>
      <c r="O30" s="40">
        <f t="shared" si="3"/>
        <v>0</v>
      </c>
      <c r="P30" s="40">
        <f t="shared" si="6"/>
        <v>2645</v>
      </c>
      <c r="Q30" s="5">
        <f t="shared" si="4"/>
        <v>91.20689655</v>
      </c>
      <c r="R30" s="9">
        <f t="shared" si="5"/>
        <v>2736.206897</v>
      </c>
    </row>
    <row r="31">
      <c r="A31" s="39"/>
      <c r="C31" s="21"/>
      <c r="E31" s="19"/>
      <c r="F31" s="5"/>
      <c r="H31" s="19"/>
      <c r="N31" s="39">
        <v>46295.0</v>
      </c>
      <c r="O31" s="40">
        <f t="shared" si="3"/>
        <v>0</v>
      </c>
      <c r="P31" s="40">
        <f t="shared" si="6"/>
        <v>2645</v>
      </c>
      <c r="Q31" s="5">
        <f t="shared" si="4"/>
        <v>88.16666667</v>
      </c>
      <c r="R31" s="9">
        <f t="shared" si="5"/>
        <v>2645</v>
      </c>
    </row>
    <row r="32">
      <c r="A32" s="39"/>
      <c r="C32" s="21"/>
      <c r="E32" s="19"/>
      <c r="F32" s="5"/>
      <c r="H32" s="19"/>
      <c r="N32" s="39"/>
      <c r="Q32" s="5"/>
      <c r="R32" s="9"/>
    </row>
    <row r="33">
      <c r="A33" s="39"/>
      <c r="C33" s="5"/>
      <c r="E33" s="19"/>
      <c r="F33" s="5"/>
      <c r="H33" s="19"/>
      <c r="N33" s="39"/>
      <c r="Q33" s="5"/>
      <c r="R33" s="9"/>
    </row>
    <row r="34">
      <c r="A34" s="39"/>
      <c r="C34" s="21"/>
      <c r="E34" s="19"/>
      <c r="F34" s="5"/>
      <c r="H34" s="19"/>
      <c r="Q34" s="5"/>
      <c r="R34" s="9"/>
    </row>
    <row r="35">
      <c r="A35" s="39"/>
      <c r="C35" s="5"/>
      <c r="E35" s="19"/>
      <c r="F35" s="5"/>
      <c r="H35" s="19"/>
      <c r="Q35" s="5"/>
      <c r="R35" s="9"/>
    </row>
    <row r="36">
      <c r="A36" s="39"/>
      <c r="C36" s="21"/>
      <c r="E36" s="19"/>
      <c r="F36" s="5"/>
      <c r="H36" s="19"/>
      <c r="Q36" s="5"/>
      <c r="R36" s="9"/>
    </row>
    <row r="37">
      <c r="A37" s="39"/>
      <c r="C37" s="21"/>
      <c r="E37" s="19"/>
      <c r="F37" s="5"/>
      <c r="H37" s="19"/>
      <c r="Q37" s="5"/>
      <c r="R37" s="9"/>
    </row>
    <row r="38">
      <c r="A38" s="39"/>
      <c r="C38" s="21"/>
      <c r="E38" s="19"/>
      <c r="F38" s="5"/>
      <c r="H38" s="19"/>
      <c r="Q38" s="5"/>
      <c r="R38" s="9"/>
    </row>
    <row r="39">
      <c r="A39" s="39"/>
      <c r="C39" s="21"/>
      <c r="E39" s="19"/>
      <c r="F39" s="5"/>
      <c r="H39" s="19"/>
      <c r="Q39" s="5"/>
      <c r="R39" s="9"/>
    </row>
    <row r="40">
      <c r="A40" s="39"/>
      <c r="C40" s="21"/>
      <c r="E40" s="19"/>
      <c r="F40" s="5"/>
      <c r="H40" s="19"/>
      <c r="Q40" s="5"/>
      <c r="R40" s="9"/>
    </row>
    <row r="41">
      <c r="A41" s="39"/>
      <c r="C41" s="21"/>
      <c r="E41" s="19"/>
      <c r="F41" s="5"/>
      <c r="H41" s="19"/>
      <c r="Q41" s="5"/>
      <c r="R41" s="9"/>
    </row>
    <row r="42">
      <c r="A42" s="39"/>
      <c r="C42" s="21"/>
      <c r="E42" s="19"/>
      <c r="F42" s="5"/>
      <c r="H42" s="19"/>
      <c r="Q42" s="5"/>
      <c r="R42" s="9"/>
    </row>
    <row r="43">
      <c r="A43" s="39"/>
      <c r="C43" s="21"/>
      <c r="E43" s="19"/>
      <c r="F43" s="5"/>
      <c r="H43" s="19"/>
      <c r="Q43" s="5"/>
      <c r="R43" s="9"/>
    </row>
    <row r="44">
      <c r="A44" s="39"/>
      <c r="C44" s="21"/>
      <c r="E44" s="19"/>
      <c r="F44" s="5"/>
      <c r="H44" s="19"/>
      <c r="Q44" s="5"/>
      <c r="R44" s="9"/>
    </row>
    <row r="45">
      <c r="A45" s="39"/>
      <c r="C45" s="21"/>
      <c r="E45" s="19"/>
      <c r="F45" s="5"/>
      <c r="H45" s="19"/>
      <c r="Q45" s="5"/>
      <c r="R45" s="9"/>
    </row>
    <row r="46">
      <c r="A46" s="39"/>
      <c r="C46" s="21"/>
      <c r="E46" s="19"/>
      <c r="F46" s="5"/>
      <c r="H46" s="19"/>
      <c r="Q46" s="5"/>
      <c r="R46" s="9"/>
    </row>
    <row r="47">
      <c r="A47" s="39"/>
      <c r="C47" s="21"/>
      <c r="E47" s="19"/>
      <c r="F47" s="5"/>
      <c r="H47" s="19"/>
      <c r="Q47" s="5"/>
      <c r="R47" s="9"/>
    </row>
    <row r="48">
      <c r="A48" s="39"/>
      <c r="C48" s="21"/>
      <c r="E48" s="19"/>
      <c r="F48" s="5"/>
      <c r="H48" s="19"/>
      <c r="Q48" s="5"/>
      <c r="R48" s="9"/>
    </row>
    <row r="49">
      <c r="A49" s="39"/>
      <c r="C49" s="21"/>
      <c r="E49" s="19"/>
      <c r="F49" s="5"/>
      <c r="H49" s="19"/>
      <c r="Q49" s="5"/>
      <c r="R49" s="9"/>
    </row>
    <row r="50">
      <c r="A50" s="39"/>
      <c r="C50" s="21"/>
      <c r="E50" s="19"/>
      <c r="F50" s="5"/>
      <c r="H50" s="19"/>
      <c r="Q50" s="5"/>
      <c r="R50" s="9"/>
    </row>
    <row r="51">
      <c r="A51" s="39"/>
      <c r="C51" s="21"/>
      <c r="E51" s="19"/>
      <c r="F51" s="5"/>
      <c r="H51" s="19"/>
      <c r="Q51" s="5"/>
      <c r="R51" s="9"/>
    </row>
    <row r="52">
      <c r="A52" s="39"/>
      <c r="C52" s="21"/>
      <c r="E52" s="19"/>
      <c r="F52" s="5"/>
      <c r="H52" s="19"/>
      <c r="Q52" s="5"/>
      <c r="R52" s="9"/>
    </row>
    <row r="53">
      <c r="A53" s="39"/>
      <c r="C53" s="21"/>
      <c r="E53" s="19"/>
      <c r="F53" s="5"/>
      <c r="H53" s="19"/>
      <c r="Q53" s="5"/>
      <c r="R53" s="9"/>
    </row>
    <row r="54">
      <c r="A54" s="39"/>
      <c r="C54" s="21"/>
      <c r="E54" s="19"/>
      <c r="F54" s="5"/>
      <c r="H54" s="19"/>
      <c r="Q54" s="5"/>
      <c r="R54" s="9"/>
    </row>
    <row r="55">
      <c r="A55" s="39"/>
      <c r="C55" s="21"/>
      <c r="E55" s="19"/>
      <c r="F55" s="5"/>
      <c r="H55" s="19"/>
      <c r="Q55" s="5"/>
      <c r="R55" s="9"/>
    </row>
    <row r="56">
      <c r="A56" s="39"/>
      <c r="C56" s="5"/>
      <c r="E56" s="19"/>
      <c r="F56" s="5"/>
      <c r="H56" s="19"/>
      <c r="Q56" s="5"/>
      <c r="R56" s="9"/>
    </row>
    <row r="57">
      <c r="A57" s="39"/>
      <c r="C57" s="43"/>
      <c r="E57" s="19"/>
      <c r="F57" s="5"/>
      <c r="H57" s="19"/>
      <c r="Q57" s="5"/>
      <c r="R57" s="9"/>
    </row>
    <row r="58">
      <c r="A58" s="39"/>
      <c r="C58" s="21"/>
      <c r="E58" s="19"/>
      <c r="F58" s="5"/>
      <c r="H58" s="19"/>
      <c r="Q58" s="5"/>
      <c r="R58" s="9"/>
    </row>
    <row r="59">
      <c r="A59" s="39"/>
      <c r="C59" s="21"/>
      <c r="E59" s="19"/>
      <c r="F59" s="5"/>
      <c r="H59" s="19"/>
      <c r="Q59" s="5"/>
      <c r="R59" s="9"/>
    </row>
    <row r="60">
      <c r="A60" s="39"/>
      <c r="C60" s="21"/>
      <c r="E60" s="19"/>
      <c r="F60" s="5"/>
      <c r="H60" s="19"/>
      <c r="Q60" s="5"/>
      <c r="R60" s="9"/>
    </row>
    <row r="61">
      <c r="A61" s="39"/>
      <c r="C61" s="21"/>
      <c r="E61" s="19"/>
      <c r="F61" s="5"/>
      <c r="H61" s="19"/>
      <c r="Q61" s="5"/>
      <c r="R61" s="9"/>
    </row>
    <row r="62">
      <c r="A62" s="39"/>
      <c r="C62" s="21"/>
      <c r="E62" s="19"/>
      <c r="F62" s="5"/>
      <c r="H62" s="19"/>
      <c r="Q62" s="5"/>
      <c r="R62" s="9"/>
    </row>
    <row r="63">
      <c r="A63" s="39"/>
      <c r="C63" s="21"/>
      <c r="E63" s="19"/>
      <c r="F63" s="5"/>
      <c r="H63" s="19"/>
      <c r="Q63" s="5"/>
      <c r="R63" s="9"/>
    </row>
    <row r="64">
      <c r="A64" s="39"/>
      <c r="C64" s="21"/>
      <c r="E64" s="19"/>
      <c r="F64" s="5"/>
      <c r="H64" s="19"/>
      <c r="Q64" s="5"/>
      <c r="R64" s="9"/>
    </row>
    <row r="65">
      <c r="A65" s="39"/>
      <c r="C65" s="21"/>
      <c r="E65" s="19"/>
      <c r="F65" s="5"/>
      <c r="H65" s="19"/>
      <c r="Q65" s="5"/>
      <c r="R65" s="9"/>
    </row>
    <row r="66">
      <c r="A66" s="39"/>
      <c r="C66" s="21"/>
      <c r="E66" s="19"/>
      <c r="F66" s="5"/>
      <c r="H66" s="19"/>
      <c r="Q66" s="5"/>
      <c r="R66" s="9"/>
    </row>
    <row r="67">
      <c r="A67" s="39"/>
      <c r="C67" s="21"/>
      <c r="E67" s="19"/>
      <c r="F67" s="5"/>
      <c r="H67" s="19"/>
      <c r="Q67" s="5"/>
      <c r="R67" s="9"/>
    </row>
    <row r="68">
      <c r="A68" s="39"/>
      <c r="C68" s="21"/>
      <c r="E68" s="19"/>
      <c r="F68" s="5"/>
      <c r="H68" s="19"/>
      <c r="Q68" s="5"/>
      <c r="R68" s="9"/>
    </row>
    <row r="69">
      <c r="A69" s="39"/>
      <c r="C69" s="21"/>
      <c r="E69" s="19"/>
      <c r="F69" s="5"/>
      <c r="H69" s="19"/>
      <c r="Q69" s="5"/>
      <c r="R69" s="9"/>
    </row>
    <row r="70">
      <c r="A70" s="39"/>
      <c r="C70" s="21"/>
      <c r="E70" s="19"/>
      <c r="F70" s="5"/>
      <c r="H70" s="19"/>
      <c r="Q70" s="5"/>
      <c r="R70" s="9"/>
    </row>
    <row r="71">
      <c r="A71" s="39"/>
      <c r="C71" s="21"/>
      <c r="E71" s="19"/>
      <c r="F71" s="5"/>
      <c r="H71" s="19"/>
      <c r="Q71" s="5"/>
      <c r="R71" s="9"/>
    </row>
    <row r="72">
      <c r="A72" s="39"/>
      <c r="C72" s="21"/>
      <c r="E72" s="19"/>
      <c r="F72" s="5"/>
      <c r="H72" s="19"/>
      <c r="Q72" s="5"/>
      <c r="R72" s="9"/>
    </row>
    <row r="73">
      <c r="A73" s="39"/>
      <c r="C73" s="21"/>
      <c r="E73" s="19"/>
      <c r="F73" s="5"/>
      <c r="H73" s="19"/>
      <c r="Q73" s="5"/>
      <c r="R73" s="9"/>
    </row>
    <row r="74">
      <c r="A74" s="39"/>
      <c r="C74" s="21"/>
      <c r="E74" s="19"/>
      <c r="F74" s="5"/>
      <c r="H74" s="19"/>
      <c r="Q74" s="5"/>
      <c r="R74" s="9"/>
    </row>
    <row r="75">
      <c r="A75" s="39"/>
      <c r="C75" s="21"/>
      <c r="E75" s="19"/>
      <c r="F75" s="5"/>
      <c r="H75" s="19"/>
      <c r="Q75" s="5"/>
      <c r="R75" s="9"/>
    </row>
    <row r="76">
      <c r="A76" s="39"/>
      <c r="C76" s="21"/>
      <c r="E76" s="19"/>
      <c r="F76" s="5"/>
      <c r="H76" s="19"/>
      <c r="Q76" s="5"/>
      <c r="R76" s="9"/>
    </row>
    <row r="77">
      <c r="A77" s="39"/>
      <c r="C77" s="21"/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C79" s="5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0</v>
      </c>
      <c r="G1" s="28"/>
      <c r="H1" s="1" t="s">
        <v>46</v>
      </c>
      <c r="I1" s="5">
        <f>I6-I7</f>
        <v>790</v>
      </c>
      <c r="J1" s="9">
        <f>I1/COUNTIF(N:N, "&gt;=" &amp; TODAY())</f>
        <v>25.48387097</v>
      </c>
      <c r="K1" s="1" t="s">
        <v>47</v>
      </c>
      <c r="L1" s="5">
        <f t="shared" ref="L1:L7" si="2">SUMIF(B:B,K1,C:I)</f>
        <v>0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46235.0</v>
      </c>
      <c r="B2" s="4" t="s">
        <v>8</v>
      </c>
      <c r="C2" s="21">
        <v>750.0</v>
      </c>
      <c r="E2" s="1" t="s">
        <v>52</v>
      </c>
      <c r="F2" s="5">
        <f t="shared" si="1"/>
        <v>0</v>
      </c>
      <c r="G2" s="28"/>
      <c r="H2" s="1" t="s">
        <v>6</v>
      </c>
      <c r="I2" s="5">
        <f>SUMIF(B:B,H2,C:C)</f>
        <v>750</v>
      </c>
      <c r="K2" s="1" t="s">
        <v>53</v>
      </c>
      <c r="L2" s="5">
        <f t="shared" si="2"/>
        <v>0</v>
      </c>
      <c r="N2" s="39">
        <v>46235.0</v>
      </c>
      <c r="O2" s="40">
        <f t="shared" ref="O2:O32" si="3">sumif(A:A,N2,C:C)</f>
        <v>2691</v>
      </c>
      <c r="P2" s="40">
        <f>SUM(O2)</f>
        <v>2691</v>
      </c>
      <c r="Q2" s="5">
        <f t="shared" ref="Q2:Q32" si="4">P2/(ROW()-1)</f>
        <v>2691</v>
      </c>
      <c r="R2" s="9">
        <f t="shared" ref="R2:R32" si="5">count(N:N)*Q2</f>
        <v>83421</v>
      </c>
      <c r="T2" s="9"/>
      <c r="U2" s="9"/>
    </row>
    <row r="3">
      <c r="A3" s="39">
        <v>46235.0</v>
      </c>
      <c r="B3" s="4" t="s">
        <v>54</v>
      </c>
      <c r="C3" s="41">
        <f>800+200</f>
        <v>1000</v>
      </c>
      <c r="E3" s="1" t="s">
        <v>55</v>
      </c>
      <c r="F3" s="5">
        <f t="shared" si="1"/>
        <v>0</v>
      </c>
      <c r="G3" s="28"/>
      <c r="H3" s="1" t="s">
        <v>8</v>
      </c>
      <c r="I3" s="5">
        <f>SUMIF(B:B,H3,C:C)+I1</f>
        <v>1540</v>
      </c>
      <c r="K3" s="1" t="s">
        <v>56</v>
      </c>
      <c r="L3" s="5">
        <f t="shared" si="2"/>
        <v>0</v>
      </c>
      <c r="N3" s="39">
        <v>46236.0</v>
      </c>
      <c r="O3" s="40">
        <f t="shared" si="3"/>
        <v>0</v>
      </c>
      <c r="P3" s="40">
        <f t="shared" ref="P3:P32" si="6">P2+O3</f>
        <v>2691</v>
      </c>
      <c r="Q3" s="5">
        <f t="shared" si="4"/>
        <v>1345.5</v>
      </c>
      <c r="R3" s="9">
        <f t="shared" si="5"/>
        <v>41710.5</v>
      </c>
    </row>
    <row r="4">
      <c r="A4" s="39">
        <v>46235.0</v>
      </c>
      <c r="B4" s="4" t="s">
        <v>6</v>
      </c>
      <c r="C4" s="21">
        <v>750.0</v>
      </c>
      <c r="E4" s="1" t="s">
        <v>57</v>
      </c>
      <c r="F4" s="5">
        <f>SUMIF(B:B,"*"&amp;E4&amp;"*",C:C)+SUM(L1:L7)</f>
        <v>0</v>
      </c>
      <c r="G4" s="28"/>
      <c r="H4" s="1" t="s">
        <v>58</v>
      </c>
      <c r="I4" s="5">
        <f>I2+I3</f>
        <v>2290</v>
      </c>
      <c r="K4" s="1" t="s">
        <v>59</v>
      </c>
      <c r="L4" s="5">
        <f t="shared" si="2"/>
        <v>0</v>
      </c>
      <c r="N4" s="39">
        <v>46237.0</v>
      </c>
      <c r="O4" s="40">
        <f t="shared" si="3"/>
        <v>0</v>
      </c>
      <c r="P4" s="40">
        <f t="shared" si="6"/>
        <v>2691</v>
      </c>
      <c r="Q4" s="5">
        <f t="shared" si="4"/>
        <v>897</v>
      </c>
      <c r="R4" s="9">
        <f t="shared" si="5"/>
        <v>27807</v>
      </c>
    </row>
    <row r="5">
      <c r="A5" s="39">
        <v>46235.0</v>
      </c>
      <c r="B5" s="4" t="s">
        <v>78</v>
      </c>
      <c r="C5" s="21">
        <v>128.0</v>
      </c>
      <c r="E5" s="42" t="s">
        <v>61</v>
      </c>
      <c r="F5" s="5">
        <f t="shared" ref="F5:F12" si="7">SUMIF(B:B,"*"&amp;E5&amp;"*",C:C)</f>
        <v>9</v>
      </c>
      <c r="G5" s="28"/>
      <c r="K5" s="1" t="s">
        <v>62</v>
      </c>
      <c r="L5" s="5">
        <f t="shared" si="2"/>
        <v>0</v>
      </c>
      <c r="N5" s="39">
        <v>46238.0</v>
      </c>
      <c r="O5" s="40">
        <f t="shared" si="3"/>
        <v>0</v>
      </c>
      <c r="P5" s="40">
        <f t="shared" si="6"/>
        <v>2691</v>
      </c>
      <c r="Q5" s="5">
        <f t="shared" si="4"/>
        <v>672.75</v>
      </c>
      <c r="R5" s="9">
        <f t="shared" si="5"/>
        <v>20855.25</v>
      </c>
    </row>
    <row r="6">
      <c r="A6" s="39">
        <v>46235.0</v>
      </c>
      <c r="B6" s="4" t="s">
        <v>63</v>
      </c>
      <c r="C6" s="21">
        <v>32.0</v>
      </c>
      <c r="E6" s="1" t="s">
        <v>64</v>
      </c>
      <c r="F6" s="5">
        <f t="shared" si="7"/>
        <v>0</v>
      </c>
      <c r="G6" s="28"/>
      <c r="H6" s="1" t="s">
        <v>65</v>
      </c>
      <c r="I6" s="21">
        <v>3481.0</v>
      </c>
      <c r="K6" s="1" t="s">
        <v>66</v>
      </c>
      <c r="L6" s="5">
        <f t="shared" si="2"/>
        <v>0</v>
      </c>
      <c r="N6" s="39">
        <v>46239.0</v>
      </c>
      <c r="O6" s="40">
        <f t="shared" si="3"/>
        <v>0</v>
      </c>
      <c r="P6" s="40">
        <f t="shared" si="6"/>
        <v>2691</v>
      </c>
      <c r="Q6" s="5">
        <f t="shared" si="4"/>
        <v>538.2</v>
      </c>
      <c r="R6" s="9">
        <f t="shared" si="5"/>
        <v>16684.2</v>
      </c>
    </row>
    <row r="7">
      <c r="A7" s="39">
        <v>46235.0</v>
      </c>
      <c r="B7" s="4" t="s">
        <v>67</v>
      </c>
      <c r="C7" s="21">
        <v>22.0</v>
      </c>
      <c r="E7" s="1" t="s">
        <v>54</v>
      </c>
      <c r="F7" s="5">
        <f t="shared" si="7"/>
        <v>1032</v>
      </c>
      <c r="G7" s="28"/>
      <c r="H7" s="1" t="s">
        <v>68</v>
      </c>
      <c r="I7" s="5">
        <f>sum(C:C)</f>
        <v>2691</v>
      </c>
      <c r="K7" s="1" t="s">
        <v>69</v>
      </c>
      <c r="L7" s="5">
        <f t="shared" si="2"/>
        <v>0</v>
      </c>
      <c r="N7" s="39">
        <v>46240.0</v>
      </c>
      <c r="O7" s="40">
        <f t="shared" si="3"/>
        <v>0</v>
      </c>
      <c r="P7" s="40">
        <f t="shared" si="6"/>
        <v>2691</v>
      </c>
      <c r="Q7" s="5">
        <f t="shared" si="4"/>
        <v>448.5</v>
      </c>
      <c r="R7" s="9">
        <f t="shared" si="5"/>
        <v>13903.5</v>
      </c>
    </row>
    <row r="8">
      <c r="A8" s="39">
        <v>46235.0</v>
      </c>
      <c r="B8" s="4" t="s">
        <v>70</v>
      </c>
      <c r="C8" s="21">
        <v>9.0</v>
      </c>
      <c r="E8" s="1" t="s">
        <v>71</v>
      </c>
      <c r="F8" s="5">
        <f t="shared" si="7"/>
        <v>0</v>
      </c>
      <c r="G8" s="28"/>
      <c r="H8" s="1" t="s">
        <v>72</v>
      </c>
      <c r="I8" s="5">
        <f>sum(F:F)+I2+C2</f>
        <v>2691</v>
      </c>
      <c r="N8" s="39">
        <v>46241.0</v>
      </c>
      <c r="O8" s="40">
        <f t="shared" si="3"/>
        <v>0</v>
      </c>
      <c r="P8" s="40">
        <f t="shared" si="6"/>
        <v>2691</v>
      </c>
      <c r="Q8" s="5">
        <f t="shared" si="4"/>
        <v>384.4285714</v>
      </c>
      <c r="R8" s="9">
        <f t="shared" si="5"/>
        <v>11917.28571</v>
      </c>
    </row>
    <row r="9">
      <c r="A9" s="39"/>
      <c r="C9" s="21"/>
      <c r="E9" s="1" t="s">
        <v>73</v>
      </c>
      <c r="F9" s="5">
        <f t="shared" si="7"/>
        <v>0</v>
      </c>
      <c r="G9" s="28"/>
      <c r="H9" s="1" t="s">
        <v>74</v>
      </c>
      <c r="I9" s="5">
        <f>I7-I8</f>
        <v>0</v>
      </c>
      <c r="N9" s="39">
        <v>46242.0</v>
      </c>
      <c r="O9" s="40">
        <f t="shared" si="3"/>
        <v>0</v>
      </c>
      <c r="P9" s="40">
        <f t="shared" si="6"/>
        <v>2691</v>
      </c>
      <c r="Q9" s="5">
        <f t="shared" si="4"/>
        <v>336.375</v>
      </c>
      <c r="R9" s="9">
        <f t="shared" si="5"/>
        <v>10427.625</v>
      </c>
    </row>
    <row r="10">
      <c r="A10" s="39"/>
      <c r="C10" s="21"/>
      <c r="E10" s="1" t="s">
        <v>75</v>
      </c>
      <c r="F10" s="5">
        <f t="shared" si="7"/>
        <v>22</v>
      </c>
      <c r="G10" s="28"/>
      <c r="N10" s="39">
        <v>46243.0</v>
      </c>
      <c r="O10" s="40">
        <f t="shared" si="3"/>
        <v>0</v>
      </c>
      <c r="P10" s="40">
        <f t="shared" si="6"/>
        <v>2691</v>
      </c>
      <c r="Q10" s="5">
        <f t="shared" si="4"/>
        <v>299</v>
      </c>
      <c r="R10" s="9">
        <f t="shared" si="5"/>
        <v>9269</v>
      </c>
    </row>
    <row r="11">
      <c r="A11" s="39"/>
      <c r="C11" s="21"/>
      <c r="E11" s="1" t="s">
        <v>76</v>
      </c>
      <c r="F11" s="5">
        <f t="shared" si="7"/>
        <v>0</v>
      </c>
      <c r="G11" s="28"/>
      <c r="H11" s="1" t="s">
        <v>3</v>
      </c>
      <c r="I11" s="28">
        <f>I4/I6</f>
        <v>0.6578569377</v>
      </c>
      <c r="N11" s="39">
        <v>46244.0</v>
      </c>
      <c r="O11" s="40">
        <f t="shared" si="3"/>
        <v>0</v>
      </c>
      <c r="P11" s="40">
        <f t="shared" si="6"/>
        <v>2691</v>
      </c>
      <c r="Q11" s="5">
        <f t="shared" si="4"/>
        <v>269.1</v>
      </c>
      <c r="R11" s="9">
        <f t="shared" si="5"/>
        <v>8342.1</v>
      </c>
    </row>
    <row r="12">
      <c r="A12" s="39"/>
      <c r="C12" s="21"/>
      <c r="E12" s="1" t="s">
        <v>77</v>
      </c>
      <c r="F12" s="5">
        <f t="shared" si="7"/>
        <v>128</v>
      </c>
      <c r="G12" s="28"/>
      <c r="N12" s="39">
        <v>46245.0</v>
      </c>
      <c r="O12" s="40">
        <f t="shared" si="3"/>
        <v>0</v>
      </c>
      <c r="P12" s="40">
        <f t="shared" si="6"/>
        <v>2691</v>
      </c>
      <c r="Q12" s="5">
        <f t="shared" si="4"/>
        <v>244.6363636</v>
      </c>
      <c r="R12" s="9">
        <f t="shared" si="5"/>
        <v>7583.727273</v>
      </c>
    </row>
    <row r="13">
      <c r="A13" s="39"/>
      <c r="C13" s="21"/>
      <c r="E13" s="1"/>
      <c r="F13" s="5"/>
      <c r="N13" s="39">
        <v>46246.0</v>
      </c>
      <c r="O13" s="40">
        <f t="shared" si="3"/>
        <v>0</v>
      </c>
      <c r="P13" s="40">
        <f t="shared" si="6"/>
        <v>2691</v>
      </c>
      <c r="Q13" s="5">
        <f t="shared" si="4"/>
        <v>224.25</v>
      </c>
      <c r="R13" s="9">
        <f t="shared" si="5"/>
        <v>6951.75</v>
      </c>
    </row>
    <row r="14">
      <c r="A14" s="39"/>
      <c r="C14" s="21"/>
      <c r="E14" s="1"/>
      <c r="F14" s="5"/>
      <c r="H14" s="19"/>
      <c r="N14" s="39">
        <v>46247.0</v>
      </c>
      <c r="O14" s="40">
        <f t="shared" si="3"/>
        <v>0</v>
      </c>
      <c r="P14" s="40">
        <f t="shared" si="6"/>
        <v>2691</v>
      </c>
      <c r="Q14" s="5">
        <f t="shared" si="4"/>
        <v>207</v>
      </c>
      <c r="R14" s="9">
        <f t="shared" si="5"/>
        <v>6417</v>
      </c>
    </row>
    <row r="15">
      <c r="A15" s="39"/>
      <c r="C15" s="21"/>
      <c r="E15" s="1"/>
      <c r="H15" s="1"/>
      <c r="N15" s="39">
        <v>46248.0</v>
      </c>
      <c r="O15" s="40">
        <f t="shared" si="3"/>
        <v>0</v>
      </c>
      <c r="P15" s="40">
        <f t="shared" si="6"/>
        <v>2691</v>
      </c>
      <c r="Q15" s="5">
        <f t="shared" si="4"/>
        <v>192.2142857</v>
      </c>
      <c r="R15" s="9">
        <f t="shared" si="5"/>
        <v>5958.642857</v>
      </c>
    </row>
    <row r="16">
      <c r="A16" s="39"/>
      <c r="C16" s="21"/>
      <c r="H16" s="19"/>
      <c r="N16" s="39">
        <v>46249.0</v>
      </c>
      <c r="O16" s="40">
        <f t="shared" si="3"/>
        <v>0</v>
      </c>
      <c r="P16" s="40">
        <f t="shared" si="6"/>
        <v>2691</v>
      </c>
      <c r="Q16" s="5">
        <f t="shared" si="4"/>
        <v>179.4</v>
      </c>
      <c r="R16" s="9">
        <f t="shared" si="5"/>
        <v>5561.4</v>
      </c>
    </row>
    <row r="17">
      <c r="A17" s="39"/>
      <c r="C17" s="21"/>
      <c r="H17" s="19"/>
      <c r="N17" s="39">
        <v>46250.0</v>
      </c>
      <c r="O17" s="40">
        <f t="shared" si="3"/>
        <v>0</v>
      </c>
      <c r="P17" s="40">
        <f t="shared" si="6"/>
        <v>2691</v>
      </c>
      <c r="Q17" s="5">
        <f t="shared" si="4"/>
        <v>168.1875</v>
      </c>
      <c r="R17" s="9">
        <f t="shared" si="5"/>
        <v>5213.8125</v>
      </c>
    </row>
    <row r="18">
      <c r="A18" s="39"/>
      <c r="C18" s="21"/>
      <c r="H18" s="19"/>
      <c r="N18" s="39">
        <v>46251.0</v>
      </c>
      <c r="O18" s="40">
        <f t="shared" si="3"/>
        <v>0</v>
      </c>
      <c r="P18" s="40">
        <f t="shared" si="6"/>
        <v>2691</v>
      </c>
      <c r="Q18" s="5">
        <f t="shared" si="4"/>
        <v>158.2941176</v>
      </c>
      <c r="R18" s="9">
        <f t="shared" si="5"/>
        <v>4907.117647</v>
      </c>
    </row>
    <row r="19">
      <c r="A19" s="39"/>
      <c r="C19" s="21"/>
      <c r="H19" s="19"/>
      <c r="N19" s="39">
        <v>46252.0</v>
      </c>
      <c r="O19" s="40">
        <f t="shared" si="3"/>
        <v>0</v>
      </c>
      <c r="P19" s="40">
        <f t="shared" si="6"/>
        <v>2691</v>
      </c>
      <c r="Q19" s="5">
        <f t="shared" si="4"/>
        <v>149.5</v>
      </c>
      <c r="R19" s="9">
        <f t="shared" si="5"/>
        <v>4634.5</v>
      </c>
    </row>
    <row r="20">
      <c r="A20" s="39"/>
      <c r="C20" s="21"/>
      <c r="H20" s="19"/>
      <c r="N20" s="39">
        <v>46253.0</v>
      </c>
      <c r="O20" s="40">
        <f t="shared" si="3"/>
        <v>0</v>
      </c>
      <c r="P20" s="40">
        <f t="shared" si="6"/>
        <v>2691</v>
      </c>
      <c r="Q20" s="5">
        <f t="shared" si="4"/>
        <v>141.6315789</v>
      </c>
      <c r="R20" s="9">
        <f t="shared" si="5"/>
        <v>4390.578947</v>
      </c>
    </row>
    <row r="21">
      <c r="A21" s="39"/>
      <c r="C21" s="21"/>
      <c r="E21" s="19"/>
      <c r="F21" s="5"/>
      <c r="H21" s="19"/>
      <c r="N21" s="39">
        <v>46254.0</v>
      </c>
      <c r="O21" s="40">
        <f t="shared" si="3"/>
        <v>0</v>
      </c>
      <c r="P21" s="40">
        <f t="shared" si="6"/>
        <v>2691</v>
      </c>
      <c r="Q21" s="5">
        <f t="shared" si="4"/>
        <v>134.55</v>
      </c>
      <c r="R21" s="9">
        <f t="shared" si="5"/>
        <v>4171.05</v>
      </c>
    </row>
    <row r="22">
      <c r="A22" s="39"/>
      <c r="C22" s="21"/>
      <c r="E22" s="19"/>
      <c r="F22" s="5"/>
      <c r="H22" s="19"/>
      <c r="N22" s="39">
        <v>46255.0</v>
      </c>
      <c r="O22" s="40">
        <f t="shared" si="3"/>
        <v>0</v>
      </c>
      <c r="P22" s="40">
        <f t="shared" si="6"/>
        <v>2691</v>
      </c>
      <c r="Q22" s="5">
        <f t="shared" si="4"/>
        <v>128.1428571</v>
      </c>
      <c r="R22" s="9">
        <f t="shared" si="5"/>
        <v>3972.428571</v>
      </c>
    </row>
    <row r="23">
      <c r="A23" s="39"/>
      <c r="C23" s="21"/>
      <c r="E23" s="19"/>
      <c r="F23" s="5"/>
      <c r="H23" s="19"/>
      <c r="N23" s="39">
        <v>46256.0</v>
      </c>
      <c r="O23" s="40">
        <f t="shared" si="3"/>
        <v>0</v>
      </c>
      <c r="P23" s="40">
        <f t="shared" si="6"/>
        <v>2691</v>
      </c>
      <c r="Q23" s="5">
        <f t="shared" si="4"/>
        <v>122.3181818</v>
      </c>
      <c r="R23" s="9">
        <f t="shared" si="5"/>
        <v>3791.863636</v>
      </c>
    </row>
    <row r="24">
      <c r="A24" s="39"/>
      <c r="C24" s="21"/>
      <c r="F24" s="5"/>
      <c r="H24" s="19"/>
      <c r="N24" s="39">
        <v>46257.0</v>
      </c>
      <c r="O24" s="40">
        <f t="shared" si="3"/>
        <v>0</v>
      </c>
      <c r="P24" s="40">
        <f t="shared" si="6"/>
        <v>2691</v>
      </c>
      <c r="Q24" s="5">
        <f t="shared" si="4"/>
        <v>117</v>
      </c>
      <c r="R24" s="9">
        <f t="shared" si="5"/>
        <v>3627</v>
      </c>
    </row>
    <row r="25">
      <c r="A25" s="39"/>
      <c r="C25" s="5"/>
      <c r="F25" s="5"/>
      <c r="H25" s="19"/>
      <c r="N25" s="39">
        <v>46258.0</v>
      </c>
      <c r="O25" s="40">
        <f t="shared" si="3"/>
        <v>0</v>
      </c>
      <c r="P25" s="40">
        <f t="shared" si="6"/>
        <v>2691</v>
      </c>
      <c r="Q25" s="5">
        <f t="shared" si="4"/>
        <v>112.125</v>
      </c>
      <c r="R25" s="9">
        <f t="shared" si="5"/>
        <v>3475.875</v>
      </c>
    </row>
    <row r="26">
      <c r="A26" s="39"/>
      <c r="C26" s="21"/>
      <c r="F26" s="5"/>
      <c r="H26" s="19"/>
      <c r="N26" s="39">
        <v>46259.0</v>
      </c>
      <c r="O26" s="40">
        <f t="shared" si="3"/>
        <v>0</v>
      </c>
      <c r="P26" s="40">
        <f t="shared" si="6"/>
        <v>2691</v>
      </c>
      <c r="Q26" s="5">
        <f t="shared" si="4"/>
        <v>107.64</v>
      </c>
      <c r="R26" s="9">
        <f t="shared" si="5"/>
        <v>3336.84</v>
      </c>
    </row>
    <row r="27">
      <c r="A27" s="39"/>
      <c r="C27" s="21"/>
      <c r="F27" s="5"/>
      <c r="H27" s="19"/>
      <c r="N27" s="39">
        <v>46260.0</v>
      </c>
      <c r="O27" s="40">
        <f t="shared" si="3"/>
        <v>0</v>
      </c>
      <c r="P27" s="40">
        <f t="shared" si="6"/>
        <v>2691</v>
      </c>
      <c r="Q27" s="5">
        <f t="shared" si="4"/>
        <v>103.5</v>
      </c>
      <c r="R27" s="9">
        <f t="shared" si="5"/>
        <v>3208.5</v>
      </c>
    </row>
    <row r="28">
      <c r="A28" s="39"/>
      <c r="C28" s="21"/>
      <c r="F28" s="5"/>
      <c r="H28" s="19"/>
      <c r="N28" s="39">
        <v>46261.0</v>
      </c>
      <c r="O28" s="40">
        <f t="shared" si="3"/>
        <v>0</v>
      </c>
      <c r="P28" s="40">
        <f t="shared" si="6"/>
        <v>2691</v>
      </c>
      <c r="Q28" s="5">
        <f t="shared" si="4"/>
        <v>99.66666667</v>
      </c>
      <c r="R28" s="9">
        <f t="shared" si="5"/>
        <v>3089.666667</v>
      </c>
    </row>
    <row r="29">
      <c r="A29" s="39"/>
      <c r="C29" s="21"/>
      <c r="F29" s="5"/>
      <c r="H29" s="19"/>
      <c r="N29" s="39">
        <v>46262.0</v>
      </c>
      <c r="O29" s="40">
        <f t="shared" si="3"/>
        <v>0</v>
      </c>
      <c r="P29" s="40">
        <f t="shared" si="6"/>
        <v>2691</v>
      </c>
      <c r="Q29" s="5">
        <f t="shared" si="4"/>
        <v>96.10714286</v>
      </c>
      <c r="R29" s="9">
        <f t="shared" si="5"/>
        <v>2979.321429</v>
      </c>
    </row>
    <row r="30">
      <c r="A30" s="39"/>
      <c r="C30" s="21"/>
      <c r="F30" s="5"/>
      <c r="H30" s="19"/>
      <c r="N30" s="39">
        <v>46263.0</v>
      </c>
      <c r="O30" s="40">
        <f t="shared" si="3"/>
        <v>0</v>
      </c>
      <c r="P30" s="40">
        <f t="shared" si="6"/>
        <v>2691</v>
      </c>
      <c r="Q30" s="5">
        <f t="shared" si="4"/>
        <v>92.79310345</v>
      </c>
      <c r="R30" s="9">
        <f t="shared" si="5"/>
        <v>2876.586207</v>
      </c>
    </row>
    <row r="31">
      <c r="A31" s="39"/>
      <c r="C31" s="21"/>
      <c r="E31" s="19"/>
      <c r="F31" s="5"/>
      <c r="H31" s="19"/>
      <c r="N31" s="39">
        <v>46264.0</v>
      </c>
      <c r="O31" s="40">
        <f t="shared" si="3"/>
        <v>0</v>
      </c>
      <c r="P31" s="40">
        <f t="shared" si="6"/>
        <v>2691</v>
      </c>
      <c r="Q31" s="5">
        <f t="shared" si="4"/>
        <v>89.7</v>
      </c>
      <c r="R31" s="9">
        <f t="shared" si="5"/>
        <v>2780.7</v>
      </c>
    </row>
    <row r="32">
      <c r="A32" s="39"/>
      <c r="C32" s="21"/>
      <c r="E32" s="19"/>
      <c r="F32" s="5"/>
      <c r="H32" s="19"/>
      <c r="N32" s="39">
        <v>46265.0</v>
      </c>
      <c r="O32" s="40">
        <f t="shared" si="3"/>
        <v>0</v>
      </c>
      <c r="P32" s="40">
        <f t="shared" si="6"/>
        <v>2691</v>
      </c>
      <c r="Q32" s="5">
        <f t="shared" si="4"/>
        <v>86.80645161</v>
      </c>
      <c r="R32" s="9">
        <f t="shared" si="5"/>
        <v>2691</v>
      </c>
    </row>
    <row r="33">
      <c r="A33" s="39"/>
      <c r="C33" s="5"/>
      <c r="E33" s="19"/>
      <c r="F33" s="5"/>
      <c r="H33" s="19"/>
      <c r="N33" s="39"/>
      <c r="Q33" s="5"/>
      <c r="R33" s="9"/>
    </row>
    <row r="34">
      <c r="A34" s="39"/>
      <c r="C34" s="21"/>
      <c r="E34" s="19"/>
      <c r="F34" s="5"/>
      <c r="H34" s="19"/>
      <c r="N34" s="39"/>
      <c r="Q34" s="5"/>
      <c r="R34" s="9"/>
    </row>
    <row r="35">
      <c r="A35" s="39"/>
      <c r="C35" s="5"/>
      <c r="E35" s="19"/>
      <c r="F35" s="5"/>
      <c r="H35" s="19"/>
      <c r="Q35" s="5"/>
      <c r="R35" s="9"/>
    </row>
    <row r="36">
      <c r="A36" s="39"/>
      <c r="C36" s="21"/>
      <c r="E36" s="19"/>
      <c r="F36" s="5"/>
      <c r="H36" s="19"/>
      <c r="Q36" s="5"/>
      <c r="R36" s="9"/>
    </row>
    <row r="37">
      <c r="A37" s="39"/>
      <c r="C37" s="21"/>
      <c r="E37" s="19"/>
      <c r="F37" s="5"/>
      <c r="H37" s="19"/>
      <c r="Q37" s="5"/>
      <c r="R37" s="9"/>
    </row>
    <row r="38">
      <c r="A38" s="39"/>
      <c r="C38" s="21"/>
      <c r="E38" s="19"/>
      <c r="F38" s="5"/>
      <c r="H38" s="19"/>
      <c r="Q38" s="5"/>
      <c r="R38" s="9"/>
    </row>
    <row r="39">
      <c r="A39" s="39"/>
      <c r="C39" s="21"/>
      <c r="E39" s="19"/>
      <c r="F39" s="5"/>
      <c r="H39" s="19"/>
      <c r="Q39" s="5"/>
      <c r="R39" s="9"/>
    </row>
    <row r="40">
      <c r="A40" s="39"/>
      <c r="C40" s="21"/>
      <c r="E40" s="19"/>
      <c r="F40" s="5"/>
      <c r="H40" s="19"/>
      <c r="Q40" s="5"/>
      <c r="R40" s="9"/>
    </row>
    <row r="41">
      <c r="A41" s="39"/>
      <c r="C41" s="21"/>
      <c r="E41" s="19"/>
      <c r="F41" s="5"/>
      <c r="H41" s="19"/>
      <c r="Q41" s="5"/>
      <c r="R41" s="9"/>
    </row>
    <row r="42">
      <c r="A42" s="39"/>
      <c r="C42" s="21"/>
      <c r="E42" s="19"/>
      <c r="F42" s="5"/>
      <c r="H42" s="19"/>
      <c r="Q42" s="5"/>
      <c r="R42" s="9"/>
    </row>
    <row r="43">
      <c r="A43" s="39"/>
      <c r="C43" s="21"/>
      <c r="E43" s="19"/>
      <c r="F43" s="5"/>
      <c r="H43" s="19"/>
      <c r="Q43" s="5"/>
      <c r="R43" s="9"/>
    </row>
    <row r="44">
      <c r="A44" s="39"/>
      <c r="C44" s="21"/>
      <c r="E44" s="19"/>
      <c r="F44" s="5"/>
      <c r="H44" s="19"/>
      <c r="Q44" s="5"/>
      <c r="R44" s="9"/>
    </row>
    <row r="45">
      <c r="A45" s="39"/>
      <c r="C45" s="21"/>
      <c r="E45" s="19"/>
      <c r="F45" s="5"/>
      <c r="H45" s="19"/>
      <c r="Q45" s="5"/>
      <c r="R45" s="9"/>
    </row>
    <row r="46">
      <c r="A46" s="39"/>
      <c r="C46" s="21"/>
      <c r="E46" s="19"/>
      <c r="F46" s="5"/>
      <c r="H46" s="19"/>
      <c r="Q46" s="5"/>
      <c r="R46" s="9"/>
    </row>
    <row r="47">
      <c r="A47" s="39"/>
      <c r="C47" s="21"/>
      <c r="E47" s="19"/>
      <c r="F47" s="5"/>
      <c r="H47" s="19"/>
      <c r="Q47" s="5"/>
      <c r="R47" s="9"/>
    </row>
    <row r="48">
      <c r="A48" s="39"/>
      <c r="C48" s="21"/>
      <c r="E48" s="19"/>
      <c r="F48" s="5"/>
      <c r="H48" s="19"/>
      <c r="Q48" s="5"/>
      <c r="R48" s="9"/>
    </row>
    <row r="49">
      <c r="A49" s="39"/>
      <c r="C49" s="21"/>
      <c r="E49" s="19"/>
      <c r="F49" s="5"/>
      <c r="H49" s="19"/>
      <c r="Q49" s="5"/>
      <c r="R49" s="9"/>
    </row>
    <row r="50">
      <c r="A50" s="39"/>
      <c r="C50" s="21"/>
      <c r="E50" s="19"/>
      <c r="F50" s="5"/>
      <c r="H50" s="19"/>
      <c r="Q50" s="5"/>
      <c r="R50" s="9"/>
    </row>
    <row r="51">
      <c r="A51" s="39"/>
      <c r="C51" s="21"/>
      <c r="E51" s="19"/>
      <c r="F51" s="5"/>
      <c r="H51" s="19"/>
      <c r="Q51" s="5"/>
      <c r="R51" s="9"/>
    </row>
    <row r="52">
      <c r="A52" s="39"/>
      <c r="C52" s="21"/>
      <c r="E52" s="19"/>
      <c r="F52" s="5"/>
      <c r="H52" s="19"/>
      <c r="Q52" s="5"/>
      <c r="R52" s="9"/>
    </row>
    <row r="53">
      <c r="A53" s="39"/>
      <c r="C53" s="21"/>
      <c r="E53" s="19"/>
      <c r="F53" s="5"/>
      <c r="H53" s="19"/>
      <c r="Q53" s="5"/>
      <c r="R53" s="9"/>
    </row>
    <row r="54">
      <c r="A54" s="39"/>
      <c r="C54" s="21"/>
      <c r="E54" s="19"/>
      <c r="F54" s="5"/>
      <c r="H54" s="19"/>
      <c r="Q54" s="5"/>
      <c r="R54" s="9"/>
    </row>
    <row r="55">
      <c r="A55" s="39"/>
      <c r="C55" s="21"/>
      <c r="E55" s="19"/>
      <c r="F55" s="5"/>
      <c r="H55" s="19"/>
      <c r="Q55" s="5"/>
      <c r="R55" s="9"/>
    </row>
    <row r="56">
      <c r="A56" s="39"/>
      <c r="C56" s="5"/>
      <c r="E56" s="19"/>
      <c r="F56" s="5"/>
      <c r="H56" s="19"/>
      <c r="Q56" s="5"/>
      <c r="R56" s="9"/>
    </row>
    <row r="57">
      <c r="A57" s="39"/>
      <c r="C57" s="43"/>
      <c r="E57" s="19"/>
      <c r="F57" s="5"/>
      <c r="H57" s="19"/>
      <c r="Q57" s="5"/>
      <c r="R57" s="9"/>
    </row>
    <row r="58">
      <c r="A58" s="39"/>
      <c r="C58" s="21"/>
      <c r="E58" s="19"/>
      <c r="F58" s="5"/>
      <c r="H58" s="19"/>
      <c r="Q58" s="5"/>
      <c r="R58" s="9"/>
    </row>
    <row r="59">
      <c r="A59" s="39"/>
      <c r="C59" s="21"/>
      <c r="E59" s="19"/>
      <c r="F59" s="5"/>
      <c r="H59" s="19"/>
      <c r="Q59" s="5"/>
      <c r="R59" s="9"/>
    </row>
    <row r="60">
      <c r="A60" s="39"/>
      <c r="C60" s="21"/>
      <c r="E60" s="19"/>
      <c r="F60" s="5"/>
      <c r="H60" s="19"/>
      <c r="Q60" s="5"/>
      <c r="R60" s="9"/>
    </row>
    <row r="61">
      <c r="A61" s="39"/>
      <c r="C61" s="21"/>
      <c r="E61" s="19"/>
      <c r="F61" s="5"/>
      <c r="H61" s="19"/>
      <c r="Q61" s="5"/>
      <c r="R61" s="9"/>
    </row>
    <row r="62">
      <c r="A62" s="39"/>
      <c r="C62" s="21"/>
      <c r="E62" s="19"/>
      <c r="F62" s="5"/>
      <c r="H62" s="19"/>
      <c r="Q62" s="5"/>
      <c r="R62" s="9"/>
    </row>
    <row r="63">
      <c r="A63" s="39"/>
      <c r="C63" s="21"/>
      <c r="E63" s="19"/>
      <c r="F63" s="5"/>
      <c r="H63" s="19"/>
      <c r="Q63" s="5"/>
      <c r="R63" s="9"/>
    </row>
    <row r="64">
      <c r="A64" s="39"/>
      <c r="C64" s="21"/>
      <c r="E64" s="19"/>
      <c r="F64" s="5"/>
      <c r="H64" s="19"/>
      <c r="Q64" s="5"/>
      <c r="R64" s="9"/>
    </row>
    <row r="65">
      <c r="A65" s="39"/>
      <c r="C65" s="21"/>
      <c r="E65" s="19"/>
      <c r="F65" s="5"/>
      <c r="H65" s="19"/>
      <c r="Q65" s="5"/>
      <c r="R65" s="9"/>
    </row>
    <row r="66">
      <c r="A66" s="39"/>
      <c r="C66" s="21"/>
      <c r="E66" s="19"/>
      <c r="F66" s="5"/>
      <c r="H66" s="19"/>
      <c r="Q66" s="5"/>
      <c r="R66" s="9"/>
    </row>
    <row r="67">
      <c r="A67" s="39"/>
      <c r="C67" s="21"/>
      <c r="E67" s="19"/>
      <c r="F67" s="5"/>
      <c r="H67" s="19"/>
      <c r="Q67" s="5"/>
      <c r="R67" s="9"/>
    </row>
    <row r="68">
      <c r="A68" s="39"/>
      <c r="C68" s="21"/>
      <c r="E68" s="19"/>
      <c r="F68" s="5"/>
      <c r="H68" s="19"/>
      <c r="Q68" s="5"/>
      <c r="R68" s="9"/>
    </row>
    <row r="69">
      <c r="A69" s="39"/>
      <c r="C69" s="21"/>
      <c r="E69" s="19"/>
      <c r="F69" s="5"/>
      <c r="H69" s="19"/>
      <c r="Q69" s="5"/>
      <c r="R69" s="9"/>
    </row>
    <row r="70">
      <c r="A70" s="39"/>
      <c r="C70" s="21"/>
      <c r="E70" s="19"/>
      <c r="F70" s="5"/>
      <c r="H70" s="19"/>
      <c r="Q70" s="5"/>
      <c r="R70" s="9"/>
    </row>
    <row r="71">
      <c r="A71" s="39"/>
      <c r="C71" s="21"/>
      <c r="E71" s="19"/>
      <c r="F71" s="5"/>
      <c r="H71" s="19"/>
      <c r="Q71" s="5"/>
      <c r="R71" s="9"/>
    </row>
    <row r="72">
      <c r="A72" s="39"/>
      <c r="C72" s="21"/>
      <c r="E72" s="19"/>
      <c r="F72" s="5"/>
      <c r="H72" s="19"/>
      <c r="Q72" s="5"/>
      <c r="R72" s="9"/>
    </row>
    <row r="73">
      <c r="A73" s="39"/>
      <c r="C73" s="21"/>
      <c r="E73" s="19"/>
      <c r="F73" s="5"/>
      <c r="H73" s="19"/>
      <c r="Q73" s="5"/>
      <c r="R73" s="9"/>
    </row>
    <row r="74">
      <c r="A74" s="39"/>
      <c r="C74" s="21"/>
      <c r="E74" s="19"/>
      <c r="F74" s="5"/>
      <c r="H74" s="19"/>
      <c r="Q74" s="5"/>
      <c r="R74" s="9"/>
    </row>
    <row r="75">
      <c r="A75" s="39"/>
      <c r="C75" s="21"/>
      <c r="E75" s="19"/>
      <c r="F75" s="5"/>
      <c r="H75" s="19"/>
      <c r="Q75" s="5"/>
      <c r="R75" s="9"/>
    </row>
    <row r="76">
      <c r="A76" s="39"/>
      <c r="C76" s="21"/>
      <c r="E76" s="19"/>
      <c r="F76" s="5"/>
      <c r="H76" s="19"/>
      <c r="Q76" s="5"/>
      <c r="R76" s="9"/>
    </row>
    <row r="77">
      <c r="A77" s="39"/>
      <c r="C77" s="21"/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C79" s="5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">
    <cfRule type="timePeriod" dxfId="4" priority="6" timePeriod="today"/>
  </conditionalFormatting>
  <conditionalFormatting sqref="N1 N35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0</v>
      </c>
      <c r="G1" s="28"/>
      <c r="H1" s="1" t="s">
        <v>46</v>
      </c>
      <c r="I1" s="5">
        <f>I6-I7</f>
        <v>676</v>
      </c>
      <c r="J1" s="9">
        <f>I1/COUNTIF(N:N, "&gt;=" &amp; TODAY())</f>
        <v>21.80645161</v>
      </c>
      <c r="K1" s="1" t="s">
        <v>47</v>
      </c>
      <c r="L1" s="5">
        <f t="shared" ref="L1:L7" si="2">SUMIF(B:B,K1,C:I)</f>
        <v>0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46204.0</v>
      </c>
      <c r="B2" s="4" t="s">
        <v>8</v>
      </c>
      <c r="C2" s="21">
        <v>1750.0</v>
      </c>
      <c r="E2" s="1" t="s">
        <v>52</v>
      </c>
      <c r="F2" s="5">
        <f t="shared" si="1"/>
        <v>0</v>
      </c>
      <c r="G2" s="28"/>
      <c r="H2" s="1" t="s">
        <v>6</v>
      </c>
      <c r="I2" s="5">
        <f>SUMIF(B:B,H2,C:C)</f>
        <v>1750</v>
      </c>
      <c r="K2" s="1" t="s">
        <v>53</v>
      </c>
      <c r="L2" s="5">
        <f t="shared" si="2"/>
        <v>0</v>
      </c>
      <c r="N2" s="39">
        <v>46204.0</v>
      </c>
      <c r="O2" s="40">
        <f t="shared" ref="O2:O32" si="3">sumif(A:A,N2,C:C)</f>
        <v>4805</v>
      </c>
      <c r="P2" s="40">
        <f>SUM(O2)</f>
        <v>4805</v>
      </c>
      <c r="Q2" s="5">
        <f t="shared" ref="Q2:Q32" si="4">P2/(ROW()-1)</f>
        <v>4805</v>
      </c>
      <c r="R2" s="9">
        <f t="shared" ref="R2:R32" si="5">count(N:N)*Q2</f>
        <v>148955</v>
      </c>
      <c r="T2" s="9"/>
      <c r="U2" s="9"/>
    </row>
    <row r="3">
      <c r="A3" s="39">
        <v>46204.0</v>
      </c>
      <c r="B3" s="4" t="s">
        <v>54</v>
      </c>
      <c r="C3" s="41">
        <f>800+200</f>
        <v>1000</v>
      </c>
      <c r="E3" s="1" t="s">
        <v>55</v>
      </c>
      <c r="F3" s="5">
        <f t="shared" si="1"/>
        <v>0</v>
      </c>
      <c r="G3" s="28"/>
      <c r="H3" s="1" t="s">
        <v>8</v>
      </c>
      <c r="I3" s="5">
        <f>SUMIF(B:B,H3,C:C)+I1</f>
        <v>2426</v>
      </c>
      <c r="K3" s="1" t="s">
        <v>56</v>
      </c>
      <c r="L3" s="5">
        <f t="shared" si="2"/>
        <v>0</v>
      </c>
      <c r="N3" s="39">
        <v>46205.0</v>
      </c>
      <c r="O3" s="40">
        <f t="shared" si="3"/>
        <v>0</v>
      </c>
      <c r="P3" s="40">
        <f t="shared" ref="P3:P32" si="6">P2+O3</f>
        <v>4805</v>
      </c>
      <c r="Q3" s="5">
        <f t="shared" si="4"/>
        <v>2402.5</v>
      </c>
      <c r="R3" s="9">
        <f t="shared" si="5"/>
        <v>74477.5</v>
      </c>
    </row>
    <row r="4">
      <c r="A4" s="39">
        <v>46204.0</v>
      </c>
      <c r="B4" s="4" t="s">
        <v>6</v>
      </c>
      <c r="C4" s="21">
        <v>1750.0</v>
      </c>
      <c r="E4" s="1" t="s">
        <v>57</v>
      </c>
      <c r="F4" s="5">
        <f>SUMIF(B:B,"*"&amp;E4&amp;"*",C:C)+SUM(L1:L7)</f>
        <v>0</v>
      </c>
      <c r="G4" s="28"/>
      <c r="H4" s="1" t="s">
        <v>58</v>
      </c>
      <c r="I4" s="5">
        <f>I2+I3</f>
        <v>4176</v>
      </c>
      <c r="K4" s="1" t="s">
        <v>59</v>
      </c>
      <c r="L4" s="5">
        <f t="shared" si="2"/>
        <v>0</v>
      </c>
      <c r="N4" s="39">
        <v>46206.0</v>
      </c>
      <c r="O4" s="40">
        <f t="shared" si="3"/>
        <v>0</v>
      </c>
      <c r="P4" s="40">
        <f t="shared" si="6"/>
        <v>4805</v>
      </c>
      <c r="Q4" s="5">
        <f t="shared" si="4"/>
        <v>1601.666667</v>
      </c>
      <c r="R4" s="9">
        <f t="shared" si="5"/>
        <v>49651.66667</v>
      </c>
    </row>
    <row r="5">
      <c r="A5" s="39">
        <v>46204.0</v>
      </c>
      <c r="B5" s="4" t="s">
        <v>79</v>
      </c>
      <c r="C5" s="21">
        <v>242.0</v>
      </c>
      <c r="E5" s="42" t="s">
        <v>61</v>
      </c>
      <c r="F5" s="5">
        <f t="shared" ref="F5:F12" si="7">SUMIF(B:B,"*"&amp;E5&amp;"*",C:C)</f>
        <v>9</v>
      </c>
      <c r="G5" s="28"/>
      <c r="K5" s="1" t="s">
        <v>62</v>
      </c>
      <c r="L5" s="5">
        <f t="shared" si="2"/>
        <v>0</v>
      </c>
      <c r="N5" s="39">
        <v>46207.0</v>
      </c>
      <c r="O5" s="40">
        <f t="shared" si="3"/>
        <v>0</v>
      </c>
      <c r="P5" s="40">
        <f t="shared" si="6"/>
        <v>4805</v>
      </c>
      <c r="Q5" s="5">
        <f t="shared" si="4"/>
        <v>1201.25</v>
      </c>
      <c r="R5" s="9">
        <f t="shared" si="5"/>
        <v>37238.75</v>
      </c>
    </row>
    <row r="6">
      <c r="A6" s="39">
        <v>46204.0</v>
      </c>
      <c r="B6" s="4" t="s">
        <v>63</v>
      </c>
      <c r="C6" s="21">
        <v>32.0</v>
      </c>
      <c r="E6" s="1" t="s">
        <v>64</v>
      </c>
      <c r="F6" s="5">
        <f t="shared" si="7"/>
        <v>0</v>
      </c>
      <c r="G6" s="28"/>
      <c r="H6" s="1" t="s">
        <v>65</v>
      </c>
      <c r="I6" s="21">
        <v>5481.0</v>
      </c>
      <c r="K6" s="1" t="s">
        <v>66</v>
      </c>
      <c r="L6" s="5">
        <f t="shared" si="2"/>
        <v>0</v>
      </c>
      <c r="N6" s="39">
        <v>46208.0</v>
      </c>
      <c r="O6" s="40">
        <f t="shared" si="3"/>
        <v>0</v>
      </c>
      <c r="P6" s="40">
        <f t="shared" si="6"/>
        <v>4805</v>
      </c>
      <c r="Q6" s="5">
        <f t="shared" si="4"/>
        <v>961</v>
      </c>
      <c r="R6" s="9">
        <f t="shared" si="5"/>
        <v>29791</v>
      </c>
    </row>
    <row r="7">
      <c r="A7" s="39">
        <v>46204.0</v>
      </c>
      <c r="B7" s="4" t="s">
        <v>67</v>
      </c>
      <c r="C7" s="21">
        <v>22.0</v>
      </c>
      <c r="E7" s="1" t="s">
        <v>54</v>
      </c>
      <c r="F7" s="5">
        <f t="shared" si="7"/>
        <v>1032</v>
      </c>
      <c r="G7" s="28"/>
      <c r="H7" s="1" t="s">
        <v>68</v>
      </c>
      <c r="I7" s="5">
        <f>sum(C:C)</f>
        <v>4805</v>
      </c>
      <c r="K7" s="1" t="s">
        <v>69</v>
      </c>
      <c r="L7" s="5">
        <f t="shared" si="2"/>
        <v>0</v>
      </c>
      <c r="N7" s="39">
        <v>46209.0</v>
      </c>
      <c r="O7" s="40">
        <f t="shared" si="3"/>
        <v>0</v>
      </c>
      <c r="P7" s="40">
        <f t="shared" si="6"/>
        <v>4805</v>
      </c>
      <c r="Q7" s="5">
        <f t="shared" si="4"/>
        <v>800.8333333</v>
      </c>
      <c r="R7" s="9">
        <f t="shared" si="5"/>
        <v>24825.83333</v>
      </c>
    </row>
    <row r="8">
      <c r="A8" s="39">
        <v>46204.0</v>
      </c>
      <c r="B8" s="4" t="s">
        <v>70</v>
      </c>
      <c r="C8" s="21">
        <v>9.0</v>
      </c>
      <c r="E8" s="1" t="s">
        <v>71</v>
      </c>
      <c r="F8" s="5">
        <f t="shared" si="7"/>
        <v>0</v>
      </c>
      <c r="G8" s="28"/>
      <c r="H8" s="1" t="s">
        <v>72</v>
      </c>
      <c r="I8" s="5">
        <f>sum(F:F)+I2+C2</f>
        <v>4805</v>
      </c>
      <c r="N8" s="39">
        <v>46210.0</v>
      </c>
      <c r="O8" s="40">
        <f t="shared" si="3"/>
        <v>0</v>
      </c>
      <c r="P8" s="40">
        <f t="shared" si="6"/>
        <v>4805</v>
      </c>
      <c r="Q8" s="5">
        <f t="shared" si="4"/>
        <v>686.4285714</v>
      </c>
      <c r="R8" s="9">
        <f t="shared" si="5"/>
        <v>21279.28571</v>
      </c>
    </row>
    <row r="9">
      <c r="A9" s="39"/>
      <c r="C9" s="21"/>
      <c r="E9" s="1" t="s">
        <v>73</v>
      </c>
      <c r="F9" s="5">
        <f t="shared" si="7"/>
        <v>0</v>
      </c>
      <c r="G9" s="28"/>
      <c r="H9" s="1" t="s">
        <v>74</v>
      </c>
      <c r="I9" s="5">
        <f>I7-I8</f>
        <v>0</v>
      </c>
      <c r="N9" s="39">
        <v>46211.0</v>
      </c>
      <c r="O9" s="40">
        <f t="shared" si="3"/>
        <v>0</v>
      </c>
      <c r="P9" s="40">
        <f t="shared" si="6"/>
        <v>4805</v>
      </c>
      <c r="Q9" s="5">
        <f t="shared" si="4"/>
        <v>600.625</v>
      </c>
      <c r="R9" s="9">
        <f t="shared" si="5"/>
        <v>18619.375</v>
      </c>
    </row>
    <row r="10">
      <c r="A10" s="39"/>
      <c r="C10" s="21"/>
      <c r="E10" s="1" t="s">
        <v>75</v>
      </c>
      <c r="F10" s="5">
        <f t="shared" si="7"/>
        <v>22</v>
      </c>
      <c r="G10" s="28"/>
      <c r="N10" s="39">
        <v>46212.0</v>
      </c>
      <c r="O10" s="40">
        <f t="shared" si="3"/>
        <v>0</v>
      </c>
      <c r="P10" s="40">
        <f t="shared" si="6"/>
        <v>4805</v>
      </c>
      <c r="Q10" s="5">
        <f t="shared" si="4"/>
        <v>533.8888889</v>
      </c>
      <c r="R10" s="9">
        <f t="shared" si="5"/>
        <v>16550.55556</v>
      </c>
    </row>
    <row r="11">
      <c r="A11" s="39"/>
      <c r="C11" s="21"/>
      <c r="E11" s="1" t="s">
        <v>76</v>
      </c>
      <c r="F11" s="5">
        <f t="shared" si="7"/>
        <v>0</v>
      </c>
      <c r="G11" s="28"/>
      <c r="H11" s="1" t="s">
        <v>3</v>
      </c>
      <c r="I11" s="28">
        <f>I4/I6</f>
        <v>0.7619047619</v>
      </c>
      <c r="N11" s="39">
        <v>46213.0</v>
      </c>
      <c r="O11" s="40">
        <f t="shared" si="3"/>
        <v>0</v>
      </c>
      <c r="P11" s="40">
        <f t="shared" si="6"/>
        <v>4805</v>
      </c>
      <c r="Q11" s="5">
        <f t="shared" si="4"/>
        <v>480.5</v>
      </c>
      <c r="R11" s="9">
        <f t="shared" si="5"/>
        <v>14895.5</v>
      </c>
    </row>
    <row r="12">
      <c r="A12" s="39"/>
      <c r="C12" s="21"/>
      <c r="E12" s="1" t="s">
        <v>77</v>
      </c>
      <c r="F12" s="5">
        <f t="shared" si="7"/>
        <v>242</v>
      </c>
      <c r="G12" s="28"/>
      <c r="N12" s="39">
        <v>46214.0</v>
      </c>
      <c r="O12" s="40">
        <f t="shared" si="3"/>
        <v>0</v>
      </c>
      <c r="P12" s="40">
        <f t="shared" si="6"/>
        <v>4805</v>
      </c>
      <c r="Q12" s="5">
        <f t="shared" si="4"/>
        <v>436.8181818</v>
      </c>
      <c r="R12" s="9">
        <f t="shared" si="5"/>
        <v>13541.36364</v>
      </c>
    </row>
    <row r="13">
      <c r="A13" s="39"/>
      <c r="C13" s="21"/>
      <c r="E13" s="1"/>
      <c r="F13" s="5"/>
      <c r="N13" s="39">
        <v>46215.0</v>
      </c>
      <c r="O13" s="40">
        <f t="shared" si="3"/>
        <v>0</v>
      </c>
      <c r="P13" s="40">
        <f t="shared" si="6"/>
        <v>4805</v>
      </c>
      <c r="Q13" s="5">
        <f t="shared" si="4"/>
        <v>400.4166667</v>
      </c>
      <c r="R13" s="9">
        <f t="shared" si="5"/>
        <v>12412.91667</v>
      </c>
    </row>
    <row r="14">
      <c r="A14" s="39"/>
      <c r="C14" s="21"/>
      <c r="E14" s="1"/>
      <c r="F14" s="5"/>
      <c r="H14" s="19"/>
      <c r="N14" s="39">
        <v>46216.0</v>
      </c>
      <c r="O14" s="40">
        <f t="shared" si="3"/>
        <v>0</v>
      </c>
      <c r="P14" s="40">
        <f t="shared" si="6"/>
        <v>4805</v>
      </c>
      <c r="Q14" s="5">
        <f t="shared" si="4"/>
        <v>369.6153846</v>
      </c>
      <c r="R14" s="9">
        <f t="shared" si="5"/>
        <v>11458.07692</v>
      </c>
    </row>
    <row r="15">
      <c r="A15" s="39"/>
      <c r="C15" s="21"/>
      <c r="E15" s="1"/>
      <c r="H15" s="1"/>
      <c r="N15" s="39">
        <v>46217.0</v>
      </c>
      <c r="O15" s="40">
        <f t="shared" si="3"/>
        <v>0</v>
      </c>
      <c r="P15" s="40">
        <f t="shared" si="6"/>
        <v>4805</v>
      </c>
      <c r="Q15" s="5">
        <f t="shared" si="4"/>
        <v>343.2142857</v>
      </c>
      <c r="R15" s="9">
        <f t="shared" si="5"/>
        <v>10639.64286</v>
      </c>
    </row>
    <row r="16">
      <c r="A16" s="39"/>
      <c r="C16" s="21"/>
      <c r="H16" s="19"/>
      <c r="N16" s="39">
        <v>46218.0</v>
      </c>
      <c r="O16" s="40">
        <f t="shared" si="3"/>
        <v>0</v>
      </c>
      <c r="P16" s="40">
        <f t="shared" si="6"/>
        <v>4805</v>
      </c>
      <c r="Q16" s="5">
        <f t="shared" si="4"/>
        <v>320.3333333</v>
      </c>
      <c r="R16" s="9">
        <f t="shared" si="5"/>
        <v>9930.333333</v>
      </c>
    </row>
    <row r="17">
      <c r="A17" s="39"/>
      <c r="C17" s="21"/>
      <c r="H17" s="19"/>
      <c r="N17" s="39">
        <v>46219.0</v>
      </c>
      <c r="O17" s="40">
        <f t="shared" si="3"/>
        <v>0</v>
      </c>
      <c r="P17" s="40">
        <f t="shared" si="6"/>
        <v>4805</v>
      </c>
      <c r="Q17" s="5">
        <f t="shared" si="4"/>
        <v>300.3125</v>
      </c>
      <c r="R17" s="9">
        <f t="shared" si="5"/>
        <v>9309.6875</v>
      </c>
    </row>
    <row r="18">
      <c r="A18" s="39"/>
      <c r="C18" s="21"/>
      <c r="H18" s="19"/>
      <c r="N18" s="39">
        <v>46220.0</v>
      </c>
      <c r="O18" s="40">
        <f t="shared" si="3"/>
        <v>0</v>
      </c>
      <c r="P18" s="40">
        <f t="shared" si="6"/>
        <v>4805</v>
      </c>
      <c r="Q18" s="5">
        <f t="shared" si="4"/>
        <v>282.6470588</v>
      </c>
      <c r="R18" s="9">
        <f t="shared" si="5"/>
        <v>8762.058824</v>
      </c>
    </row>
    <row r="19">
      <c r="A19" s="39"/>
      <c r="C19" s="21"/>
      <c r="H19" s="19"/>
      <c r="N19" s="39">
        <v>46221.0</v>
      </c>
      <c r="O19" s="40">
        <f t="shared" si="3"/>
        <v>0</v>
      </c>
      <c r="P19" s="40">
        <f t="shared" si="6"/>
        <v>4805</v>
      </c>
      <c r="Q19" s="5">
        <f t="shared" si="4"/>
        <v>266.9444444</v>
      </c>
      <c r="R19" s="9">
        <f t="shared" si="5"/>
        <v>8275.277778</v>
      </c>
    </row>
    <row r="20">
      <c r="A20" s="39"/>
      <c r="C20" s="21"/>
      <c r="H20" s="19"/>
      <c r="N20" s="39">
        <v>46222.0</v>
      </c>
      <c r="O20" s="40">
        <f t="shared" si="3"/>
        <v>0</v>
      </c>
      <c r="P20" s="40">
        <f t="shared" si="6"/>
        <v>4805</v>
      </c>
      <c r="Q20" s="5">
        <f t="shared" si="4"/>
        <v>252.8947368</v>
      </c>
      <c r="R20" s="9">
        <f t="shared" si="5"/>
        <v>7839.736842</v>
      </c>
    </row>
    <row r="21">
      <c r="A21" s="39"/>
      <c r="C21" s="21"/>
      <c r="E21" s="19"/>
      <c r="F21" s="5"/>
      <c r="H21" s="19"/>
      <c r="N21" s="39">
        <v>46223.0</v>
      </c>
      <c r="O21" s="40">
        <f t="shared" si="3"/>
        <v>0</v>
      </c>
      <c r="P21" s="40">
        <f t="shared" si="6"/>
        <v>4805</v>
      </c>
      <c r="Q21" s="5">
        <f t="shared" si="4"/>
        <v>240.25</v>
      </c>
      <c r="R21" s="9">
        <f t="shared" si="5"/>
        <v>7447.75</v>
      </c>
    </row>
    <row r="22">
      <c r="A22" s="39"/>
      <c r="C22" s="21"/>
      <c r="E22" s="19"/>
      <c r="F22" s="5"/>
      <c r="H22" s="19"/>
      <c r="N22" s="39">
        <v>46224.0</v>
      </c>
      <c r="O22" s="40">
        <f t="shared" si="3"/>
        <v>0</v>
      </c>
      <c r="P22" s="40">
        <f t="shared" si="6"/>
        <v>4805</v>
      </c>
      <c r="Q22" s="5">
        <f t="shared" si="4"/>
        <v>228.8095238</v>
      </c>
      <c r="R22" s="9">
        <f t="shared" si="5"/>
        <v>7093.095238</v>
      </c>
    </row>
    <row r="23">
      <c r="A23" s="39"/>
      <c r="C23" s="21"/>
      <c r="E23" s="19"/>
      <c r="F23" s="5"/>
      <c r="H23" s="19"/>
      <c r="N23" s="39">
        <v>46225.0</v>
      </c>
      <c r="O23" s="40">
        <f t="shared" si="3"/>
        <v>0</v>
      </c>
      <c r="P23" s="40">
        <f t="shared" si="6"/>
        <v>4805</v>
      </c>
      <c r="Q23" s="5">
        <f t="shared" si="4"/>
        <v>218.4090909</v>
      </c>
      <c r="R23" s="9">
        <f t="shared" si="5"/>
        <v>6770.681818</v>
      </c>
    </row>
    <row r="24">
      <c r="A24" s="39"/>
      <c r="C24" s="21"/>
      <c r="F24" s="5"/>
      <c r="H24" s="19"/>
      <c r="N24" s="39">
        <v>46226.0</v>
      </c>
      <c r="O24" s="40">
        <f t="shared" si="3"/>
        <v>0</v>
      </c>
      <c r="P24" s="40">
        <f t="shared" si="6"/>
        <v>4805</v>
      </c>
      <c r="Q24" s="5">
        <f t="shared" si="4"/>
        <v>208.9130435</v>
      </c>
      <c r="R24" s="9">
        <f t="shared" si="5"/>
        <v>6476.304348</v>
      </c>
    </row>
    <row r="25">
      <c r="A25" s="39"/>
      <c r="C25" s="5"/>
      <c r="F25" s="5"/>
      <c r="H25" s="19"/>
      <c r="N25" s="39">
        <v>46227.0</v>
      </c>
      <c r="O25" s="40">
        <f t="shared" si="3"/>
        <v>0</v>
      </c>
      <c r="P25" s="40">
        <f t="shared" si="6"/>
        <v>4805</v>
      </c>
      <c r="Q25" s="5">
        <f t="shared" si="4"/>
        <v>200.2083333</v>
      </c>
      <c r="R25" s="9">
        <f t="shared" si="5"/>
        <v>6206.458333</v>
      </c>
    </row>
    <row r="26">
      <c r="A26" s="39"/>
      <c r="C26" s="21"/>
      <c r="F26" s="5"/>
      <c r="H26" s="19"/>
      <c r="N26" s="39">
        <v>46228.0</v>
      </c>
      <c r="O26" s="40">
        <f t="shared" si="3"/>
        <v>0</v>
      </c>
      <c r="P26" s="40">
        <f t="shared" si="6"/>
        <v>4805</v>
      </c>
      <c r="Q26" s="5">
        <f t="shared" si="4"/>
        <v>192.2</v>
      </c>
      <c r="R26" s="9">
        <f t="shared" si="5"/>
        <v>5958.2</v>
      </c>
    </row>
    <row r="27">
      <c r="A27" s="39"/>
      <c r="C27" s="21"/>
      <c r="F27" s="5"/>
      <c r="H27" s="19"/>
      <c r="N27" s="39">
        <v>46229.0</v>
      </c>
      <c r="O27" s="40">
        <f t="shared" si="3"/>
        <v>0</v>
      </c>
      <c r="P27" s="40">
        <f t="shared" si="6"/>
        <v>4805</v>
      </c>
      <c r="Q27" s="5">
        <f t="shared" si="4"/>
        <v>184.8076923</v>
      </c>
      <c r="R27" s="9">
        <f t="shared" si="5"/>
        <v>5729.038462</v>
      </c>
    </row>
    <row r="28">
      <c r="A28" s="39"/>
      <c r="C28" s="21"/>
      <c r="F28" s="5"/>
      <c r="H28" s="19"/>
      <c r="N28" s="39">
        <v>46230.0</v>
      </c>
      <c r="O28" s="40">
        <f t="shared" si="3"/>
        <v>0</v>
      </c>
      <c r="P28" s="40">
        <f t="shared" si="6"/>
        <v>4805</v>
      </c>
      <c r="Q28" s="5">
        <f t="shared" si="4"/>
        <v>177.962963</v>
      </c>
      <c r="R28" s="9">
        <f t="shared" si="5"/>
        <v>5516.851852</v>
      </c>
    </row>
    <row r="29">
      <c r="A29" s="39"/>
      <c r="C29" s="21"/>
      <c r="F29" s="5"/>
      <c r="H29" s="19"/>
      <c r="N29" s="39">
        <v>46231.0</v>
      </c>
      <c r="O29" s="40">
        <f t="shared" si="3"/>
        <v>0</v>
      </c>
      <c r="P29" s="40">
        <f t="shared" si="6"/>
        <v>4805</v>
      </c>
      <c r="Q29" s="5">
        <f t="shared" si="4"/>
        <v>171.6071429</v>
      </c>
      <c r="R29" s="9">
        <f t="shared" si="5"/>
        <v>5319.821429</v>
      </c>
    </row>
    <row r="30">
      <c r="A30" s="39"/>
      <c r="C30" s="21"/>
      <c r="F30" s="5"/>
      <c r="H30" s="19"/>
      <c r="N30" s="39">
        <v>46232.0</v>
      </c>
      <c r="O30" s="40">
        <f t="shared" si="3"/>
        <v>0</v>
      </c>
      <c r="P30" s="40">
        <f t="shared" si="6"/>
        <v>4805</v>
      </c>
      <c r="Q30" s="5">
        <f t="shared" si="4"/>
        <v>165.6896552</v>
      </c>
      <c r="R30" s="9">
        <f t="shared" si="5"/>
        <v>5136.37931</v>
      </c>
    </row>
    <row r="31">
      <c r="A31" s="39"/>
      <c r="C31" s="21"/>
      <c r="E31" s="19"/>
      <c r="F31" s="5"/>
      <c r="H31" s="19"/>
      <c r="N31" s="39">
        <v>46233.0</v>
      </c>
      <c r="O31" s="40">
        <f t="shared" si="3"/>
        <v>0</v>
      </c>
      <c r="P31" s="40">
        <f t="shared" si="6"/>
        <v>4805</v>
      </c>
      <c r="Q31" s="5">
        <f t="shared" si="4"/>
        <v>160.1666667</v>
      </c>
      <c r="R31" s="9">
        <f t="shared" si="5"/>
        <v>4965.166667</v>
      </c>
    </row>
    <row r="32">
      <c r="A32" s="39"/>
      <c r="C32" s="21"/>
      <c r="E32" s="19"/>
      <c r="F32" s="5"/>
      <c r="H32" s="19"/>
      <c r="N32" s="39">
        <v>46234.0</v>
      </c>
      <c r="O32" s="40">
        <f t="shared" si="3"/>
        <v>0</v>
      </c>
      <c r="P32" s="40">
        <f t="shared" si="6"/>
        <v>4805</v>
      </c>
      <c r="Q32" s="5">
        <f t="shared" si="4"/>
        <v>155</v>
      </c>
      <c r="R32" s="9">
        <f t="shared" si="5"/>
        <v>4805</v>
      </c>
    </row>
    <row r="33">
      <c r="A33" s="39"/>
      <c r="C33" s="5"/>
      <c r="E33" s="19"/>
      <c r="F33" s="5"/>
      <c r="H33" s="19"/>
      <c r="N33" s="39"/>
      <c r="Q33" s="5"/>
      <c r="R33" s="9"/>
    </row>
    <row r="34">
      <c r="A34" s="39"/>
      <c r="C34" s="21"/>
      <c r="E34" s="19"/>
      <c r="F34" s="5"/>
      <c r="H34" s="19"/>
      <c r="Q34" s="5"/>
      <c r="R34" s="9"/>
    </row>
    <row r="35">
      <c r="A35" s="39"/>
      <c r="C35" s="5"/>
      <c r="E35" s="19"/>
      <c r="F35" s="5"/>
      <c r="H35" s="19"/>
      <c r="Q35" s="5"/>
      <c r="R35" s="9"/>
    </row>
    <row r="36">
      <c r="A36" s="39"/>
      <c r="C36" s="21"/>
      <c r="E36" s="19"/>
      <c r="F36" s="5"/>
      <c r="H36" s="19"/>
      <c r="Q36" s="5"/>
      <c r="R36" s="9"/>
    </row>
    <row r="37">
      <c r="A37" s="39"/>
      <c r="C37" s="21"/>
      <c r="E37" s="19"/>
      <c r="F37" s="5"/>
      <c r="H37" s="19"/>
      <c r="Q37" s="5"/>
      <c r="R37" s="9"/>
    </row>
    <row r="38">
      <c r="A38" s="39"/>
      <c r="C38" s="21"/>
      <c r="E38" s="19"/>
      <c r="F38" s="5"/>
      <c r="H38" s="19"/>
      <c r="Q38" s="5"/>
      <c r="R38" s="9"/>
    </row>
    <row r="39">
      <c r="A39" s="39"/>
      <c r="C39" s="21"/>
      <c r="E39" s="19"/>
      <c r="F39" s="5"/>
      <c r="H39" s="19"/>
      <c r="Q39" s="5"/>
      <c r="R39" s="9"/>
    </row>
    <row r="40">
      <c r="A40" s="39"/>
      <c r="C40" s="21"/>
      <c r="E40" s="19"/>
      <c r="F40" s="5"/>
      <c r="H40" s="19"/>
      <c r="Q40" s="5"/>
      <c r="R40" s="9"/>
    </row>
    <row r="41">
      <c r="A41" s="39"/>
      <c r="C41" s="21"/>
      <c r="E41" s="19"/>
      <c r="F41" s="5"/>
      <c r="H41" s="19"/>
      <c r="Q41" s="5"/>
      <c r="R41" s="9"/>
    </row>
    <row r="42">
      <c r="A42" s="39"/>
      <c r="C42" s="21"/>
      <c r="E42" s="19"/>
      <c r="F42" s="5"/>
      <c r="H42" s="19"/>
      <c r="Q42" s="5"/>
      <c r="R42" s="9"/>
    </row>
    <row r="43">
      <c r="A43" s="39"/>
      <c r="C43" s="21"/>
      <c r="E43" s="19"/>
      <c r="F43" s="5"/>
      <c r="H43" s="19"/>
      <c r="Q43" s="5"/>
      <c r="R43" s="9"/>
    </row>
    <row r="44">
      <c r="A44" s="39"/>
      <c r="C44" s="21"/>
      <c r="E44" s="19"/>
      <c r="F44" s="5"/>
      <c r="H44" s="19"/>
      <c r="Q44" s="5"/>
      <c r="R44" s="9"/>
    </row>
    <row r="45">
      <c r="A45" s="39"/>
      <c r="C45" s="21"/>
      <c r="E45" s="19"/>
      <c r="F45" s="5"/>
      <c r="H45" s="19"/>
      <c r="Q45" s="5"/>
      <c r="R45" s="9"/>
    </row>
    <row r="46">
      <c r="A46" s="39"/>
      <c r="C46" s="21"/>
      <c r="E46" s="19"/>
      <c r="F46" s="5"/>
      <c r="H46" s="19"/>
      <c r="Q46" s="5"/>
      <c r="R46" s="9"/>
    </row>
    <row r="47">
      <c r="A47" s="39"/>
      <c r="C47" s="21"/>
      <c r="E47" s="19"/>
      <c r="F47" s="5"/>
      <c r="H47" s="19"/>
      <c r="Q47" s="5"/>
      <c r="R47" s="9"/>
    </row>
    <row r="48">
      <c r="A48" s="39"/>
      <c r="C48" s="21"/>
      <c r="E48" s="19"/>
      <c r="F48" s="5"/>
      <c r="H48" s="19"/>
      <c r="Q48" s="5"/>
      <c r="R48" s="9"/>
    </row>
    <row r="49">
      <c r="A49" s="39"/>
      <c r="C49" s="21"/>
      <c r="E49" s="19"/>
      <c r="F49" s="5"/>
      <c r="H49" s="19"/>
      <c r="Q49" s="5"/>
      <c r="R49" s="9"/>
    </row>
    <row r="50">
      <c r="A50" s="39"/>
      <c r="C50" s="21"/>
      <c r="E50" s="19"/>
      <c r="F50" s="5"/>
      <c r="H50" s="19"/>
      <c r="Q50" s="5"/>
      <c r="R50" s="9"/>
    </row>
    <row r="51">
      <c r="A51" s="39"/>
      <c r="C51" s="21"/>
      <c r="E51" s="19"/>
      <c r="F51" s="5"/>
      <c r="H51" s="19"/>
      <c r="Q51" s="5"/>
      <c r="R51" s="9"/>
    </row>
    <row r="52">
      <c r="A52" s="39"/>
      <c r="C52" s="21"/>
      <c r="E52" s="19"/>
      <c r="F52" s="5"/>
      <c r="H52" s="19"/>
      <c r="Q52" s="5"/>
      <c r="R52" s="9"/>
    </row>
    <row r="53">
      <c r="A53" s="39"/>
      <c r="C53" s="21"/>
      <c r="E53" s="19"/>
      <c r="F53" s="5"/>
      <c r="H53" s="19"/>
      <c r="Q53" s="5"/>
      <c r="R53" s="9"/>
    </row>
    <row r="54">
      <c r="A54" s="39"/>
      <c r="C54" s="21"/>
      <c r="E54" s="19"/>
      <c r="F54" s="5"/>
      <c r="H54" s="19"/>
      <c r="Q54" s="5"/>
      <c r="R54" s="9"/>
    </row>
    <row r="55">
      <c r="A55" s="39"/>
      <c r="C55" s="21"/>
      <c r="E55" s="19"/>
      <c r="F55" s="5"/>
      <c r="H55" s="19"/>
      <c r="Q55" s="5"/>
      <c r="R55" s="9"/>
    </row>
    <row r="56">
      <c r="A56" s="39"/>
      <c r="C56" s="5"/>
      <c r="E56" s="19"/>
      <c r="F56" s="5"/>
      <c r="H56" s="19"/>
      <c r="Q56" s="5"/>
      <c r="R56" s="9"/>
    </row>
    <row r="57">
      <c r="A57" s="39"/>
      <c r="C57" s="43"/>
      <c r="E57" s="19"/>
      <c r="F57" s="5"/>
      <c r="H57" s="19"/>
      <c r="Q57" s="5"/>
      <c r="R57" s="9"/>
    </row>
    <row r="58">
      <c r="A58" s="39"/>
      <c r="C58" s="21"/>
      <c r="E58" s="19"/>
      <c r="F58" s="5"/>
      <c r="H58" s="19"/>
      <c r="Q58" s="5"/>
      <c r="R58" s="9"/>
    </row>
    <row r="59">
      <c r="A59" s="39"/>
      <c r="C59" s="21"/>
      <c r="E59" s="19"/>
      <c r="F59" s="5"/>
      <c r="H59" s="19"/>
      <c r="Q59" s="5"/>
      <c r="R59" s="9"/>
    </row>
    <row r="60">
      <c r="A60" s="39"/>
      <c r="C60" s="21"/>
      <c r="E60" s="19"/>
      <c r="F60" s="5"/>
      <c r="H60" s="19"/>
      <c r="Q60" s="5"/>
      <c r="R60" s="9"/>
    </row>
    <row r="61">
      <c r="A61" s="39"/>
      <c r="C61" s="21"/>
      <c r="E61" s="19"/>
      <c r="F61" s="5"/>
      <c r="H61" s="19"/>
      <c r="Q61" s="5"/>
      <c r="R61" s="9"/>
    </row>
    <row r="62">
      <c r="A62" s="39"/>
      <c r="C62" s="21"/>
      <c r="E62" s="19"/>
      <c r="F62" s="5"/>
      <c r="H62" s="19"/>
      <c r="Q62" s="5"/>
      <c r="R62" s="9"/>
    </row>
    <row r="63">
      <c r="A63" s="39"/>
      <c r="C63" s="21"/>
      <c r="E63" s="19"/>
      <c r="F63" s="5"/>
      <c r="H63" s="19"/>
      <c r="Q63" s="5"/>
      <c r="R63" s="9"/>
    </row>
    <row r="64">
      <c r="A64" s="39"/>
      <c r="C64" s="21"/>
      <c r="E64" s="19"/>
      <c r="F64" s="5"/>
      <c r="H64" s="19"/>
      <c r="Q64" s="5"/>
      <c r="R64" s="9"/>
    </row>
    <row r="65">
      <c r="A65" s="39"/>
      <c r="C65" s="21"/>
      <c r="E65" s="19"/>
      <c r="F65" s="5"/>
      <c r="H65" s="19"/>
      <c r="Q65" s="5"/>
      <c r="R65" s="9"/>
    </row>
    <row r="66">
      <c r="A66" s="39"/>
      <c r="C66" s="21"/>
      <c r="E66" s="19"/>
      <c r="F66" s="5"/>
      <c r="H66" s="19"/>
      <c r="Q66" s="5"/>
      <c r="R66" s="9"/>
    </row>
    <row r="67">
      <c r="A67" s="39"/>
      <c r="C67" s="21"/>
      <c r="E67" s="19"/>
      <c r="F67" s="5"/>
      <c r="H67" s="19"/>
      <c r="Q67" s="5"/>
      <c r="R67" s="9"/>
    </row>
    <row r="68">
      <c r="A68" s="39"/>
      <c r="C68" s="21"/>
      <c r="E68" s="19"/>
      <c r="F68" s="5"/>
      <c r="H68" s="19"/>
      <c r="Q68" s="5"/>
      <c r="R68" s="9"/>
    </row>
    <row r="69">
      <c r="A69" s="39"/>
      <c r="C69" s="21"/>
      <c r="E69" s="19"/>
      <c r="F69" s="5"/>
      <c r="H69" s="19"/>
      <c r="Q69" s="5"/>
      <c r="R69" s="9"/>
    </row>
    <row r="70">
      <c r="A70" s="39"/>
      <c r="C70" s="21"/>
      <c r="E70" s="19"/>
      <c r="F70" s="5"/>
      <c r="H70" s="19"/>
      <c r="Q70" s="5"/>
      <c r="R70" s="9"/>
    </row>
    <row r="71">
      <c r="A71" s="39"/>
      <c r="C71" s="21"/>
      <c r="E71" s="19"/>
      <c r="F71" s="5"/>
      <c r="H71" s="19"/>
      <c r="Q71" s="5"/>
      <c r="R71" s="9"/>
    </row>
    <row r="72">
      <c r="A72" s="39"/>
      <c r="C72" s="21"/>
      <c r="E72" s="19"/>
      <c r="F72" s="5"/>
      <c r="H72" s="19"/>
      <c r="Q72" s="5"/>
      <c r="R72" s="9"/>
    </row>
    <row r="73">
      <c r="A73" s="39"/>
      <c r="C73" s="21"/>
      <c r="E73" s="19"/>
      <c r="F73" s="5"/>
      <c r="H73" s="19"/>
      <c r="Q73" s="5"/>
      <c r="R73" s="9"/>
    </row>
    <row r="74">
      <c r="A74" s="39"/>
      <c r="C74" s="21"/>
      <c r="E74" s="19"/>
      <c r="F74" s="5"/>
      <c r="H74" s="19"/>
      <c r="Q74" s="5"/>
      <c r="R74" s="9"/>
    </row>
    <row r="75">
      <c r="A75" s="39"/>
      <c r="C75" s="21"/>
      <c r="E75" s="19"/>
      <c r="F75" s="5"/>
      <c r="H75" s="19"/>
      <c r="Q75" s="5"/>
      <c r="R75" s="9"/>
    </row>
    <row r="76">
      <c r="A76" s="39"/>
      <c r="C76" s="21"/>
      <c r="E76" s="19"/>
      <c r="F76" s="5"/>
      <c r="H76" s="19"/>
      <c r="Q76" s="5"/>
      <c r="R76" s="9"/>
    </row>
    <row r="77">
      <c r="A77" s="39"/>
      <c r="C77" s="21"/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C79" s="5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0</v>
      </c>
      <c r="G1" s="28"/>
      <c r="H1" s="1" t="s">
        <v>46</v>
      </c>
      <c r="I1" s="5">
        <f>I6-I7</f>
        <v>918</v>
      </c>
      <c r="J1" s="9">
        <f>I1/COUNTIF(N:N, "&gt;=" &amp; TODAY())</f>
        <v>30.6</v>
      </c>
      <c r="K1" s="1" t="s">
        <v>47</v>
      </c>
      <c r="L1" s="5">
        <f t="shared" ref="L1:L7" si="2">SUMIF(B:B,K1,C:I)</f>
        <v>0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46174.0</v>
      </c>
      <c r="B2" s="4" t="s">
        <v>8</v>
      </c>
      <c r="C2" s="21">
        <v>750.0</v>
      </c>
      <c r="E2" s="1" t="s">
        <v>52</v>
      </c>
      <c r="F2" s="5">
        <f t="shared" si="1"/>
        <v>0</v>
      </c>
      <c r="G2" s="28"/>
      <c r="H2" s="1" t="s">
        <v>6</v>
      </c>
      <c r="I2" s="5">
        <f>SUMIF(B:B,H2,C:C)</f>
        <v>750</v>
      </c>
      <c r="K2" s="1" t="s">
        <v>53</v>
      </c>
      <c r="L2" s="5">
        <f t="shared" si="2"/>
        <v>0</v>
      </c>
      <c r="N2" s="39">
        <v>46174.0</v>
      </c>
      <c r="O2" s="40">
        <f t="shared" ref="O2:O31" si="3">sumif(A:A,N2,C:C)</f>
        <v>2563</v>
      </c>
      <c r="P2" s="40">
        <f>SUM(O2)</f>
        <v>2563</v>
      </c>
      <c r="Q2" s="5">
        <f t="shared" ref="Q2:Q31" si="4">P2/(ROW()-1)</f>
        <v>2563</v>
      </c>
      <c r="R2" s="9">
        <f t="shared" ref="R2:R31" si="5">count(N:N)*Q2</f>
        <v>76890</v>
      </c>
      <c r="T2" s="9"/>
      <c r="U2" s="9"/>
    </row>
    <row r="3">
      <c r="A3" s="39">
        <v>46174.0</v>
      </c>
      <c r="B3" s="4" t="s">
        <v>54</v>
      </c>
      <c r="C3" s="41">
        <f>800+200</f>
        <v>1000</v>
      </c>
      <c r="E3" s="1" t="s">
        <v>55</v>
      </c>
      <c r="F3" s="5">
        <f t="shared" si="1"/>
        <v>0</v>
      </c>
      <c r="G3" s="28"/>
      <c r="H3" s="1" t="s">
        <v>8</v>
      </c>
      <c r="I3" s="5">
        <f>SUMIF(B:B,H3,C:C)+I1</f>
        <v>1668</v>
      </c>
      <c r="K3" s="1" t="s">
        <v>56</v>
      </c>
      <c r="L3" s="5">
        <f t="shared" si="2"/>
        <v>0</v>
      </c>
      <c r="N3" s="39">
        <v>46175.0</v>
      </c>
      <c r="O3" s="40">
        <f t="shared" si="3"/>
        <v>0</v>
      </c>
      <c r="P3" s="40">
        <f t="shared" ref="P3:P31" si="6">P2+O3</f>
        <v>2563</v>
      </c>
      <c r="Q3" s="5">
        <f t="shared" si="4"/>
        <v>1281.5</v>
      </c>
      <c r="R3" s="9">
        <f t="shared" si="5"/>
        <v>38445</v>
      </c>
    </row>
    <row r="4">
      <c r="A4" s="39">
        <v>46174.0</v>
      </c>
      <c r="B4" s="4" t="s">
        <v>6</v>
      </c>
      <c r="C4" s="21">
        <v>750.0</v>
      </c>
      <c r="E4" s="1" t="s">
        <v>57</v>
      </c>
      <c r="F4" s="5">
        <f>SUMIF(B:B,"*"&amp;E4&amp;"*",C:C)+SUM(L1:L7)</f>
        <v>0</v>
      </c>
      <c r="G4" s="28"/>
      <c r="H4" s="1" t="s">
        <v>58</v>
      </c>
      <c r="I4" s="5">
        <f>I2+I3</f>
        <v>2418</v>
      </c>
      <c r="K4" s="1" t="s">
        <v>59</v>
      </c>
      <c r="L4" s="5">
        <f t="shared" si="2"/>
        <v>0</v>
      </c>
      <c r="N4" s="39">
        <v>46176.0</v>
      </c>
      <c r="O4" s="40">
        <f t="shared" si="3"/>
        <v>0</v>
      </c>
      <c r="P4" s="40">
        <f t="shared" si="6"/>
        <v>2563</v>
      </c>
      <c r="Q4" s="5">
        <f t="shared" si="4"/>
        <v>854.3333333</v>
      </c>
      <c r="R4" s="9">
        <f t="shared" si="5"/>
        <v>25630</v>
      </c>
    </row>
    <row r="5">
      <c r="A5" s="39">
        <v>46174.0</v>
      </c>
      <c r="B5" s="4" t="s">
        <v>63</v>
      </c>
      <c r="C5" s="21">
        <v>32.0</v>
      </c>
      <c r="E5" s="42" t="s">
        <v>61</v>
      </c>
      <c r="F5" s="5">
        <f t="shared" ref="F5:F12" si="7">SUMIF(B:B,"*"&amp;E5&amp;"*",C:C)</f>
        <v>9</v>
      </c>
      <c r="G5" s="28"/>
      <c r="K5" s="1" t="s">
        <v>62</v>
      </c>
      <c r="L5" s="5">
        <f t="shared" si="2"/>
        <v>0</v>
      </c>
      <c r="N5" s="39">
        <v>46177.0</v>
      </c>
      <c r="O5" s="40">
        <f t="shared" si="3"/>
        <v>0</v>
      </c>
      <c r="P5" s="40">
        <f t="shared" si="6"/>
        <v>2563</v>
      </c>
      <c r="Q5" s="5">
        <f t="shared" si="4"/>
        <v>640.75</v>
      </c>
      <c r="R5" s="9">
        <f t="shared" si="5"/>
        <v>19222.5</v>
      </c>
    </row>
    <row r="6">
      <c r="A6" s="39">
        <v>46174.0</v>
      </c>
      <c r="B6" s="4" t="s">
        <v>67</v>
      </c>
      <c r="C6" s="21">
        <v>22.0</v>
      </c>
      <c r="E6" s="1" t="s">
        <v>64</v>
      </c>
      <c r="F6" s="5">
        <f t="shared" si="7"/>
        <v>0</v>
      </c>
      <c r="G6" s="28"/>
      <c r="H6" s="1" t="s">
        <v>65</v>
      </c>
      <c r="I6" s="21">
        <v>3481.0</v>
      </c>
      <c r="K6" s="1" t="s">
        <v>66</v>
      </c>
      <c r="L6" s="5">
        <f t="shared" si="2"/>
        <v>0</v>
      </c>
      <c r="N6" s="39">
        <v>46178.0</v>
      </c>
      <c r="O6" s="40">
        <f t="shared" si="3"/>
        <v>0</v>
      </c>
      <c r="P6" s="40">
        <f t="shared" si="6"/>
        <v>2563</v>
      </c>
      <c r="Q6" s="5">
        <f t="shared" si="4"/>
        <v>512.6</v>
      </c>
      <c r="R6" s="9">
        <f t="shared" si="5"/>
        <v>15378</v>
      </c>
    </row>
    <row r="7">
      <c r="A7" s="39">
        <v>46174.0</v>
      </c>
      <c r="B7" s="4" t="s">
        <v>70</v>
      </c>
      <c r="C7" s="21">
        <v>9.0</v>
      </c>
      <c r="E7" s="1" t="s">
        <v>54</v>
      </c>
      <c r="F7" s="5">
        <f t="shared" si="7"/>
        <v>1032</v>
      </c>
      <c r="G7" s="28"/>
      <c r="H7" s="1" t="s">
        <v>68</v>
      </c>
      <c r="I7" s="5">
        <f>sum(C:C)</f>
        <v>2563</v>
      </c>
      <c r="K7" s="1" t="s">
        <v>69</v>
      </c>
      <c r="L7" s="5">
        <f t="shared" si="2"/>
        <v>0</v>
      </c>
      <c r="N7" s="39">
        <v>46179.0</v>
      </c>
      <c r="O7" s="40">
        <f t="shared" si="3"/>
        <v>0</v>
      </c>
      <c r="P7" s="40">
        <f t="shared" si="6"/>
        <v>2563</v>
      </c>
      <c r="Q7" s="5">
        <f t="shared" si="4"/>
        <v>427.1666667</v>
      </c>
      <c r="R7" s="9">
        <f t="shared" si="5"/>
        <v>12815</v>
      </c>
    </row>
    <row r="8">
      <c r="A8" s="39"/>
      <c r="C8" s="21"/>
      <c r="E8" s="1" t="s">
        <v>71</v>
      </c>
      <c r="F8" s="5">
        <f t="shared" si="7"/>
        <v>0</v>
      </c>
      <c r="G8" s="28"/>
      <c r="H8" s="1" t="s">
        <v>72</v>
      </c>
      <c r="I8" s="5">
        <f>sum(F:F)+I2+C2</f>
        <v>2563</v>
      </c>
      <c r="N8" s="39">
        <v>46180.0</v>
      </c>
      <c r="O8" s="40">
        <f t="shared" si="3"/>
        <v>0</v>
      </c>
      <c r="P8" s="40">
        <f t="shared" si="6"/>
        <v>2563</v>
      </c>
      <c r="Q8" s="5">
        <f t="shared" si="4"/>
        <v>366.1428571</v>
      </c>
      <c r="R8" s="9">
        <f t="shared" si="5"/>
        <v>10984.28571</v>
      </c>
    </row>
    <row r="9">
      <c r="A9" s="39"/>
      <c r="C9" s="21"/>
      <c r="E9" s="1" t="s">
        <v>73</v>
      </c>
      <c r="F9" s="5">
        <f t="shared" si="7"/>
        <v>0</v>
      </c>
      <c r="G9" s="28"/>
      <c r="H9" s="1" t="s">
        <v>74</v>
      </c>
      <c r="I9" s="5">
        <f>I7-I8</f>
        <v>0</v>
      </c>
      <c r="N9" s="39">
        <v>46181.0</v>
      </c>
      <c r="O9" s="40">
        <f t="shared" si="3"/>
        <v>0</v>
      </c>
      <c r="P9" s="40">
        <f t="shared" si="6"/>
        <v>2563</v>
      </c>
      <c r="Q9" s="5">
        <f t="shared" si="4"/>
        <v>320.375</v>
      </c>
      <c r="R9" s="9">
        <f t="shared" si="5"/>
        <v>9611.25</v>
      </c>
    </row>
    <row r="10">
      <c r="A10" s="39"/>
      <c r="C10" s="21"/>
      <c r="E10" s="1" t="s">
        <v>75</v>
      </c>
      <c r="F10" s="5">
        <f t="shared" si="7"/>
        <v>22</v>
      </c>
      <c r="G10" s="28"/>
      <c r="N10" s="39">
        <v>46182.0</v>
      </c>
      <c r="O10" s="40">
        <f t="shared" si="3"/>
        <v>0</v>
      </c>
      <c r="P10" s="40">
        <f t="shared" si="6"/>
        <v>2563</v>
      </c>
      <c r="Q10" s="5">
        <f t="shared" si="4"/>
        <v>284.7777778</v>
      </c>
      <c r="R10" s="9">
        <f t="shared" si="5"/>
        <v>8543.333333</v>
      </c>
    </row>
    <row r="11">
      <c r="A11" s="39"/>
      <c r="C11" s="21"/>
      <c r="E11" s="1" t="s">
        <v>76</v>
      </c>
      <c r="F11" s="5">
        <f t="shared" si="7"/>
        <v>0</v>
      </c>
      <c r="G11" s="28"/>
      <c r="H11" s="1" t="s">
        <v>3</v>
      </c>
      <c r="I11" s="28">
        <f>I4/I6</f>
        <v>0.6946279805</v>
      </c>
      <c r="N11" s="39">
        <v>46183.0</v>
      </c>
      <c r="O11" s="40">
        <f t="shared" si="3"/>
        <v>0</v>
      </c>
      <c r="P11" s="40">
        <f t="shared" si="6"/>
        <v>2563</v>
      </c>
      <c r="Q11" s="5">
        <f t="shared" si="4"/>
        <v>256.3</v>
      </c>
      <c r="R11" s="9">
        <f t="shared" si="5"/>
        <v>7689</v>
      </c>
    </row>
    <row r="12">
      <c r="A12" s="39"/>
      <c r="C12" s="21"/>
      <c r="E12" s="1" t="s">
        <v>77</v>
      </c>
      <c r="F12" s="5">
        <f t="shared" si="7"/>
        <v>0</v>
      </c>
      <c r="G12" s="28"/>
      <c r="N12" s="39">
        <v>46184.0</v>
      </c>
      <c r="O12" s="40">
        <f t="shared" si="3"/>
        <v>0</v>
      </c>
      <c r="P12" s="40">
        <f t="shared" si="6"/>
        <v>2563</v>
      </c>
      <c r="Q12" s="5">
        <f t="shared" si="4"/>
        <v>233</v>
      </c>
      <c r="R12" s="9">
        <f t="shared" si="5"/>
        <v>6990</v>
      </c>
    </row>
    <row r="13">
      <c r="A13" s="39"/>
      <c r="C13" s="21"/>
      <c r="E13" s="1"/>
      <c r="F13" s="5"/>
      <c r="N13" s="39">
        <v>46185.0</v>
      </c>
      <c r="O13" s="40">
        <f t="shared" si="3"/>
        <v>0</v>
      </c>
      <c r="P13" s="40">
        <f t="shared" si="6"/>
        <v>2563</v>
      </c>
      <c r="Q13" s="5">
        <f t="shared" si="4"/>
        <v>213.5833333</v>
      </c>
      <c r="R13" s="9">
        <f t="shared" si="5"/>
        <v>6407.5</v>
      </c>
    </row>
    <row r="14">
      <c r="A14" s="39"/>
      <c r="C14" s="21"/>
      <c r="E14" s="1"/>
      <c r="F14" s="5"/>
      <c r="H14" s="19"/>
      <c r="N14" s="39">
        <v>46186.0</v>
      </c>
      <c r="O14" s="40">
        <f t="shared" si="3"/>
        <v>0</v>
      </c>
      <c r="P14" s="40">
        <f t="shared" si="6"/>
        <v>2563</v>
      </c>
      <c r="Q14" s="5">
        <f t="shared" si="4"/>
        <v>197.1538462</v>
      </c>
      <c r="R14" s="9">
        <f t="shared" si="5"/>
        <v>5914.615385</v>
      </c>
    </row>
    <row r="15">
      <c r="A15" s="39"/>
      <c r="C15" s="21"/>
      <c r="E15" s="1"/>
      <c r="H15" s="1"/>
      <c r="N15" s="39">
        <v>46187.0</v>
      </c>
      <c r="O15" s="40">
        <f t="shared" si="3"/>
        <v>0</v>
      </c>
      <c r="P15" s="40">
        <f t="shared" si="6"/>
        <v>2563</v>
      </c>
      <c r="Q15" s="5">
        <f t="shared" si="4"/>
        <v>183.0714286</v>
      </c>
      <c r="R15" s="9">
        <f t="shared" si="5"/>
        <v>5492.142857</v>
      </c>
    </row>
    <row r="16">
      <c r="A16" s="39"/>
      <c r="C16" s="21"/>
      <c r="H16" s="19"/>
      <c r="N16" s="39">
        <v>46188.0</v>
      </c>
      <c r="O16" s="40">
        <f t="shared" si="3"/>
        <v>0</v>
      </c>
      <c r="P16" s="40">
        <f t="shared" si="6"/>
        <v>2563</v>
      </c>
      <c r="Q16" s="5">
        <f t="shared" si="4"/>
        <v>170.8666667</v>
      </c>
      <c r="R16" s="9">
        <f t="shared" si="5"/>
        <v>5126</v>
      </c>
    </row>
    <row r="17">
      <c r="A17" s="39"/>
      <c r="C17" s="21"/>
      <c r="H17" s="19"/>
      <c r="N17" s="39">
        <v>46189.0</v>
      </c>
      <c r="O17" s="40">
        <f t="shared" si="3"/>
        <v>0</v>
      </c>
      <c r="P17" s="40">
        <f t="shared" si="6"/>
        <v>2563</v>
      </c>
      <c r="Q17" s="5">
        <f t="shared" si="4"/>
        <v>160.1875</v>
      </c>
      <c r="R17" s="9">
        <f t="shared" si="5"/>
        <v>4805.625</v>
      </c>
    </row>
    <row r="18">
      <c r="A18" s="39"/>
      <c r="C18" s="21"/>
      <c r="H18" s="19"/>
      <c r="N18" s="39">
        <v>46190.0</v>
      </c>
      <c r="O18" s="40">
        <f t="shared" si="3"/>
        <v>0</v>
      </c>
      <c r="P18" s="40">
        <f t="shared" si="6"/>
        <v>2563</v>
      </c>
      <c r="Q18" s="5">
        <f t="shared" si="4"/>
        <v>150.7647059</v>
      </c>
      <c r="R18" s="9">
        <f t="shared" si="5"/>
        <v>4522.941176</v>
      </c>
    </row>
    <row r="19">
      <c r="A19" s="39"/>
      <c r="C19" s="21"/>
      <c r="H19" s="19"/>
      <c r="N19" s="39">
        <v>46191.0</v>
      </c>
      <c r="O19" s="40">
        <f t="shared" si="3"/>
        <v>0</v>
      </c>
      <c r="P19" s="40">
        <f t="shared" si="6"/>
        <v>2563</v>
      </c>
      <c r="Q19" s="5">
        <f t="shared" si="4"/>
        <v>142.3888889</v>
      </c>
      <c r="R19" s="9">
        <f t="shared" si="5"/>
        <v>4271.666667</v>
      </c>
    </row>
    <row r="20">
      <c r="A20" s="39"/>
      <c r="C20" s="21"/>
      <c r="H20" s="19"/>
      <c r="N20" s="39">
        <v>46192.0</v>
      </c>
      <c r="O20" s="40">
        <f t="shared" si="3"/>
        <v>0</v>
      </c>
      <c r="P20" s="40">
        <f t="shared" si="6"/>
        <v>2563</v>
      </c>
      <c r="Q20" s="5">
        <f t="shared" si="4"/>
        <v>134.8947368</v>
      </c>
      <c r="R20" s="9">
        <f t="shared" si="5"/>
        <v>4046.842105</v>
      </c>
    </row>
    <row r="21">
      <c r="A21" s="39"/>
      <c r="C21" s="21"/>
      <c r="E21" s="19"/>
      <c r="F21" s="5"/>
      <c r="H21" s="19"/>
      <c r="N21" s="39">
        <v>46193.0</v>
      </c>
      <c r="O21" s="40">
        <f t="shared" si="3"/>
        <v>0</v>
      </c>
      <c r="P21" s="40">
        <f t="shared" si="6"/>
        <v>2563</v>
      </c>
      <c r="Q21" s="5">
        <f t="shared" si="4"/>
        <v>128.15</v>
      </c>
      <c r="R21" s="9">
        <f t="shared" si="5"/>
        <v>3844.5</v>
      </c>
    </row>
    <row r="22">
      <c r="A22" s="39"/>
      <c r="C22" s="21"/>
      <c r="E22" s="19"/>
      <c r="F22" s="5"/>
      <c r="H22" s="19"/>
      <c r="N22" s="39">
        <v>46194.0</v>
      </c>
      <c r="O22" s="40">
        <f t="shared" si="3"/>
        <v>0</v>
      </c>
      <c r="P22" s="40">
        <f t="shared" si="6"/>
        <v>2563</v>
      </c>
      <c r="Q22" s="5">
        <f t="shared" si="4"/>
        <v>122.047619</v>
      </c>
      <c r="R22" s="9">
        <f t="shared" si="5"/>
        <v>3661.428571</v>
      </c>
    </row>
    <row r="23">
      <c r="A23" s="39"/>
      <c r="C23" s="21"/>
      <c r="E23" s="19"/>
      <c r="F23" s="5"/>
      <c r="H23" s="19"/>
      <c r="N23" s="39">
        <v>46195.0</v>
      </c>
      <c r="O23" s="40">
        <f t="shared" si="3"/>
        <v>0</v>
      </c>
      <c r="P23" s="40">
        <f t="shared" si="6"/>
        <v>2563</v>
      </c>
      <c r="Q23" s="5">
        <f t="shared" si="4"/>
        <v>116.5</v>
      </c>
      <c r="R23" s="9">
        <f t="shared" si="5"/>
        <v>3495</v>
      </c>
    </row>
    <row r="24">
      <c r="A24" s="39"/>
      <c r="C24" s="21"/>
      <c r="F24" s="5"/>
      <c r="H24" s="19"/>
      <c r="N24" s="39">
        <v>46196.0</v>
      </c>
      <c r="O24" s="40">
        <f t="shared" si="3"/>
        <v>0</v>
      </c>
      <c r="P24" s="40">
        <f t="shared" si="6"/>
        <v>2563</v>
      </c>
      <c r="Q24" s="5">
        <f t="shared" si="4"/>
        <v>111.4347826</v>
      </c>
      <c r="R24" s="9">
        <f t="shared" si="5"/>
        <v>3343.043478</v>
      </c>
    </row>
    <row r="25">
      <c r="A25" s="39"/>
      <c r="C25" s="5"/>
      <c r="F25" s="5"/>
      <c r="H25" s="19"/>
      <c r="N25" s="39">
        <v>46197.0</v>
      </c>
      <c r="O25" s="40">
        <f t="shared" si="3"/>
        <v>0</v>
      </c>
      <c r="P25" s="40">
        <f t="shared" si="6"/>
        <v>2563</v>
      </c>
      <c r="Q25" s="5">
        <f t="shared" si="4"/>
        <v>106.7916667</v>
      </c>
      <c r="R25" s="9">
        <f t="shared" si="5"/>
        <v>3203.75</v>
      </c>
    </row>
    <row r="26">
      <c r="A26" s="39"/>
      <c r="C26" s="21"/>
      <c r="F26" s="5"/>
      <c r="H26" s="19"/>
      <c r="N26" s="39">
        <v>46198.0</v>
      </c>
      <c r="O26" s="40">
        <f t="shared" si="3"/>
        <v>0</v>
      </c>
      <c r="P26" s="40">
        <f t="shared" si="6"/>
        <v>2563</v>
      </c>
      <c r="Q26" s="5">
        <f t="shared" si="4"/>
        <v>102.52</v>
      </c>
      <c r="R26" s="9">
        <f t="shared" si="5"/>
        <v>3075.6</v>
      </c>
    </row>
    <row r="27">
      <c r="A27" s="39"/>
      <c r="C27" s="21"/>
      <c r="F27" s="5"/>
      <c r="H27" s="19"/>
      <c r="N27" s="39">
        <v>46199.0</v>
      </c>
      <c r="O27" s="40">
        <f t="shared" si="3"/>
        <v>0</v>
      </c>
      <c r="P27" s="40">
        <f t="shared" si="6"/>
        <v>2563</v>
      </c>
      <c r="Q27" s="5">
        <f t="shared" si="4"/>
        <v>98.57692308</v>
      </c>
      <c r="R27" s="9">
        <f t="shared" si="5"/>
        <v>2957.307692</v>
      </c>
    </row>
    <row r="28">
      <c r="A28" s="39"/>
      <c r="C28" s="21"/>
      <c r="F28" s="5"/>
      <c r="H28" s="19"/>
      <c r="N28" s="39">
        <v>46200.0</v>
      </c>
      <c r="O28" s="40">
        <f t="shared" si="3"/>
        <v>0</v>
      </c>
      <c r="P28" s="40">
        <f t="shared" si="6"/>
        <v>2563</v>
      </c>
      <c r="Q28" s="5">
        <f t="shared" si="4"/>
        <v>94.92592593</v>
      </c>
      <c r="R28" s="9">
        <f t="shared" si="5"/>
        <v>2847.777778</v>
      </c>
    </row>
    <row r="29">
      <c r="A29" s="39"/>
      <c r="C29" s="21"/>
      <c r="F29" s="5"/>
      <c r="H29" s="19"/>
      <c r="N29" s="39">
        <v>46201.0</v>
      </c>
      <c r="O29" s="40">
        <f t="shared" si="3"/>
        <v>0</v>
      </c>
      <c r="P29" s="40">
        <f t="shared" si="6"/>
        <v>2563</v>
      </c>
      <c r="Q29" s="5">
        <f t="shared" si="4"/>
        <v>91.53571429</v>
      </c>
      <c r="R29" s="9">
        <f t="shared" si="5"/>
        <v>2746.071429</v>
      </c>
    </row>
    <row r="30">
      <c r="A30" s="39"/>
      <c r="C30" s="21"/>
      <c r="F30" s="5"/>
      <c r="H30" s="19"/>
      <c r="N30" s="39">
        <v>46202.0</v>
      </c>
      <c r="O30" s="40">
        <f t="shared" si="3"/>
        <v>0</v>
      </c>
      <c r="P30" s="40">
        <f t="shared" si="6"/>
        <v>2563</v>
      </c>
      <c r="Q30" s="5">
        <f t="shared" si="4"/>
        <v>88.37931034</v>
      </c>
      <c r="R30" s="9">
        <f t="shared" si="5"/>
        <v>2651.37931</v>
      </c>
    </row>
    <row r="31">
      <c r="A31" s="39"/>
      <c r="C31" s="21"/>
      <c r="E31" s="19"/>
      <c r="F31" s="5"/>
      <c r="H31" s="19"/>
      <c r="N31" s="39">
        <v>46203.0</v>
      </c>
      <c r="O31" s="40">
        <f t="shared" si="3"/>
        <v>0</v>
      </c>
      <c r="P31" s="40">
        <f t="shared" si="6"/>
        <v>2563</v>
      </c>
      <c r="Q31" s="5">
        <f t="shared" si="4"/>
        <v>85.43333333</v>
      </c>
      <c r="R31" s="9">
        <f t="shared" si="5"/>
        <v>2563</v>
      </c>
    </row>
    <row r="32">
      <c r="A32" s="39"/>
      <c r="C32" s="21"/>
      <c r="E32" s="19"/>
      <c r="F32" s="5"/>
      <c r="H32" s="19"/>
      <c r="N32" s="39"/>
      <c r="Q32" s="5"/>
      <c r="R32" s="9"/>
    </row>
    <row r="33">
      <c r="A33" s="39"/>
      <c r="C33" s="5"/>
      <c r="E33" s="19"/>
      <c r="F33" s="5"/>
      <c r="H33" s="19"/>
      <c r="N33" s="39"/>
      <c r="Q33" s="5"/>
      <c r="R33" s="9"/>
    </row>
    <row r="34">
      <c r="A34" s="39"/>
      <c r="C34" s="21"/>
      <c r="E34" s="19"/>
      <c r="F34" s="5"/>
      <c r="H34" s="19"/>
      <c r="Q34" s="5"/>
      <c r="R34" s="9"/>
    </row>
    <row r="35">
      <c r="A35" s="39"/>
      <c r="C35" s="5"/>
      <c r="E35" s="19"/>
      <c r="F35" s="5"/>
      <c r="H35" s="19"/>
      <c r="Q35" s="5"/>
      <c r="R35" s="9"/>
    </row>
    <row r="36">
      <c r="A36" s="39"/>
      <c r="C36" s="21"/>
      <c r="E36" s="19"/>
      <c r="F36" s="5"/>
      <c r="H36" s="19"/>
      <c r="Q36" s="5"/>
      <c r="R36" s="9"/>
    </row>
    <row r="37">
      <c r="A37" s="39"/>
      <c r="C37" s="21"/>
      <c r="E37" s="19"/>
      <c r="F37" s="5"/>
      <c r="H37" s="19"/>
      <c r="Q37" s="5"/>
      <c r="R37" s="9"/>
    </row>
    <row r="38">
      <c r="A38" s="39"/>
      <c r="C38" s="21"/>
      <c r="E38" s="19"/>
      <c r="F38" s="5"/>
      <c r="H38" s="19"/>
      <c r="Q38" s="5"/>
      <c r="R38" s="9"/>
    </row>
    <row r="39">
      <c r="A39" s="39"/>
      <c r="C39" s="21"/>
      <c r="E39" s="19"/>
      <c r="F39" s="5"/>
      <c r="H39" s="19"/>
      <c r="Q39" s="5"/>
      <c r="R39" s="9"/>
    </row>
    <row r="40">
      <c r="A40" s="39"/>
      <c r="C40" s="21"/>
      <c r="E40" s="19"/>
      <c r="F40" s="5"/>
      <c r="H40" s="19"/>
      <c r="Q40" s="5"/>
      <c r="R40" s="9"/>
    </row>
    <row r="41">
      <c r="A41" s="39"/>
      <c r="C41" s="21"/>
      <c r="E41" s="19"/>
      <c r="F41" s="5"/>
      <c r="H41" s="19"/>
      <c r="Q41" s="5"/>
      <c r="R41" s="9"/>
    </row>
    <row r="42">
      <c r="A42" s="39"/>
      <c r="C42" s="21"/>
      <c r="E42" s="19"/>
      <c r="F42" s="5"/>
      <c r="H42" s="19"/>
      <c r="Q42" s="5"/>
      <c r="R42" s="9"/>
    </row>
    <row r="43">
      <c r="A43" s="39"/>
      <c r="C43" s="21"/>
      <c r="E43" s="19"/>
      <c r="F43" s="5"/>
      <c r="H43" s="19"/>
      <c r="Q43" s="5"/>
      <c r="R43" s="9"/>
    </row>
    <row r="44">
      <c r="A44" s="39"/>
      <c r="C44" s="21"/>
      <c r="E44" s="19"/>
      <c r="F44" s="5"/>
      <c r="H44" s="19"/>
      <c r="Q44" s="5"/>
      <c r="R44" s="9"/>
    </row>
    <row r="45">
      <c r="A45" s="39"/>
      <c r="C45" s="21"/>
      <c r="E45" s="19"/>
      <c r="F45" s="5"/>
      <c r="H45" s="19"/>
      <c r="Q45" s="5"/>
      <c r="R45" s="9"/>
    </row>
    <row r="46">
      <c r="A46" s="39"/>
      <c r="C46" s="21"/>
      <c r="E46" s="19"/>
      <c r="F46" s="5"/>
      <c r="H46" s="19"/>
      <c r="Q46" s="5"/>
      <c r="R46" s="9"/>
    </row>
    <row r="47">
      <c r="A47" s="39"/>
      <c r="C47" s="21"/>
      <c r="E47" s="19"/>
      <c r="F47" s="5"/>
      <c r="H47" s="19"/>
      <c r="Q47" s="5"/>
      <c r="R47" s="9"/>
    </row>
    <row r="48">
      <c r="A48" s="39"/>
      <c r="C48" s="21"/>
      <c r="E48" s="19"/>
      <c r="F48" s="5"/>
      <c r="H48" s="19"/>
      <c r="Q48" s="5"/>
      <c r="R48" s="9"/>
    </row>
    <row r="49">
      <c r="A49" s="39"/>
      <c r="C49" s="21"/>
      <c r="E49" s="19"/>
      <c r="F49" s="5"/>
      <c r="H49" s="19"/>
      <c r="Q49" s="5"/>
      <c r="R49" s="9"/>
    </row>
    <row r="50">
      <c r="A50" s="39"/>
      <c r="C50" s="21"/>
      <c r="E50" s="19"/>
      <c r="F50" s="5"/>
      <c r="H50" s="19"/>
      <c r="Q50" s="5"/>
      <c r="R50" s="9"/>
    </row>
    <row r="51">
      <c r="A51" s="39"/>
      <c r="C51" s="21"/>
      <c r="E51" s="19"/>
      <c r="F51" s="5"/>
      <c r="H51" s="19"/>
      <c r="Q51" s="5"/>
      <c r="R51" s="9"/>
    </row>
    <row r="52">
      <c r="A52" s="39"/>
      <c r="C52" s="21"/>
      <c r="E52" s="19"/>
      <c r="F52" s="5"/>
      <c r="H52" s="19"/>
      <c r="Q52" s="5"/>
      <c r="R52" s="9"/>
    </row>
    <row r="53">
      <c r="A53" s="39"/>
      <c r="C53" s="21"/>
      <c r="E53" s="19"/>
      <c r="F53" s="5"/>
      <c r="H53" s="19"/>
      <c r="Q53" s="5"/>
      <c r="R53" s="9"/>
    </row>
    <row r="54">
      <c r="A54" s="39"/>
      <c r="C54" s="21"/>
      <c r="E54" s="19"/>
      <c r="F54" s="5"/>
      <c r="H54" s="19"/>
      <c r="Q54" s="5"/>
      <c r="R54" s="9"/>
    </row>
    <row r="55">
      <c r="A55" s="39"/>
      <c r="C55" s="21"/>
      <c r="E55" s="19"/>
      <c r="F55" s="5"/>
      <c r="H55" s="19"/>
      <c r="Q55" s="5"/>
      <c r="R55" s="9"/>
    </row>
    <row r="56">
      <c r="A56" s="39"/>
      <c r="C56" s="5"/>
      <c r="E56" s="19"/>
      <c r="F56" s="5"/>
      <c r="H56" s="19"/>
      <c r="Q56" s="5"/>
      <c r="R56" s="9"/>
    </row>
    <row r="57">
      <c r="A57" s="39"/>
      <c r="C57" s="43"/>
      <c r="E57" s="19"/>
      <c r="F57" s="5"/>
      <c r="H57" s="19"/>
      <c r="Q57" s="5"/>
      <c r="R57" s="9"/>
    </row>
    <row r="58">
      <c r="A58" s="39"/>
      <c r="C58" s="21"/>
      <c r="E58" s="19"/>
      <c r="F58" s="5"/>
      <c r="H58" s="19"/>
      <c r="Q58" s="5"/>
      <c r="R58" s="9"/>
    </row>
    <row r="59">
      <c r="A59" s="39"/>
      <c r="C59" s="21"/>
      <c r="E59" s="19"/>
      <c r="F59" s="5"/>
      <c r="H59" s="19"/>
      <c r="Q59" s="5"/>
      <c r="R59" s="9"/>
    </row>
    <row r="60">
      <c r="A60" s="39"/>
      <c r="C60" s="21"/>
      <c r="E60" s="19"/>
      <c r="F60" s="5"/>
      <c r="H60" s="19"/>
      <c r="Q60" s="5"/>
      <c r="R60" s="9"/>
    </row>
    <row r="61">
      <c r="A61" s="39"/>
      <c r="C61" s="21"/>
      <c r="E61" s="19"/>
      <c r="F61" s="5"/>
      <c r="H61" s="19"/>
      <c r="Q61" s="5"/>
      <c r="R61" s="9"/>
    </row>
    <row r="62">
      <c r="A62" s="39"/>
      <c r="C62" s="21"/>
      <c r="E62" s="19"/>
      <c r="F62" s="5"/>
      <c r="H62" s="19"/>
      <c r="Q62" s="5"/>
      <c r="R62" s="9"/>
    </row>
    <row r="63">
      <c r="A63" s="39"/>
      <c r="C63" s="21"/>
      <c r="E63" s="19"/>
      <c r="F63" s="5"/>
      <c r="H63" s="19"/>
      <c r="Q63" s="5"/>
      <c r="R63" s="9"/>
    </row>
    <row r="64">
      <c r="A64" s="39"/>
      <c r="C64" s="21"/>
      <c r="E64" s="19"/>
      <c r="F64" s="5"/>
      <c r="H64" s="19"/>
      <c r="Q64" s="5"/>
      <c r="R64" s="9"/>
    </row>
    <row r="65">
      <c r="A65" s="39"/>
      <c r="C65" s="21"/>
      <c r="E65" s="19"/>
      <c r="F65" s="5"/>
      <c r="H65" s="19"/>
      <c r="Q65" s="5"/>
      <c r="R65" s="9"/>
    </row>
    <row r="66">
      <c r="A66" s="39"/>
      <c r="C66" s="21"/>
      <c r="E66" s="19"/>
      <c r="F66" s="5"/>
      <c r="H66" s="19"/>
      <c r="Q66" s="5"/>
      <c r="R66" s="9"/>
    </row>
    <row r="67">
      <c r="A67" s="39"/>
      <c r="C67" s="21"/>
      <c r="E67" s="19"/>
      <c r="F67" s="5"/>
      <c r="H67" s="19"/>
      <c r="Q67" s="5"/>
      <c r="R67" s="9"/>
    </row>
    <row r="68">
      <c r="A68" s="39"/>
      <c r="C68" s="21"/>
      <c r="E68" s="19"/>
      <c r="F68" s="5"/>
      <c r="H68" s="19"/>
      <c r="Q68" s="5"/>
      <c r="R68" s="9"/>
    </row>
    <row r="69">
      <c r="A69" s="39"/>
      <c r="C69" s="21"/>
      <c r="E69" s="19"/>
      <c r="F69" s="5"/>
      <c r="H69" s="19"/>
      <c r="Q69" s="5"/>
      <c r="R69" s="9"/>
    </row>
    <row r="70">
      <c r="A70" s="39"/>
      <c r="C70" s="21"/>
      <c r="E70" s="19"/>
      <c r="F70" s="5"/>
      <c r="H70" s="19"/>
      <c r="Q70" s="5"/>
      <c r="R70" s="9"/>
    </row>
    <row r="71">
      <c r="A71" s="39"/>
      <c r="C71" s="21"/>
      <c r="E71" s="19"/>
      <c r="F71" s="5"/>
      <c r="H71" s="19"/>
      <c r="Q71" s="5"/>
      <c r="R71" s="9"/>
    </row>
    <row r="72">
      <c r="A72" s="39"/>
      <c r="C72" s="21"/>
      <c r="E72" s="19"/>
      <c r="F72" s="5"/>
      <c r="H72" s="19"/>
      <c r="Q72" s="5"/>
      <c r="R72" s="9"/>
    </row>
    <row r="73">
      <c r="A73" s="39"/>
      <c r="C73" s="21"/>
      <c r="E73" s="19"/>
      <c r="F73" s="5"/>
      <c r="H73" s="19"/>
      <c r="Q73" s="5"/>
      <c r="R73" s="9"/>
    </row>
    <row r="74">
      <c r="A74" s="39"/>
      <c r="C74" s="21"/>
      <c r="E74" s="19"/>
      <c r="F74" s="5"/>
      <c r="H74" s="19"/>
      <c r="Q74" s="5"/>
      <c r="R74" s="9"/>
    </row>
    <row r="75">
      <c r="A75" s="39"/>
      <c r="C75" s="21"/>
      <c r="E75" s="19"/>
      <c r="F75" s="5"/>
      <c r="H75" s="19"/>
      <c r="Q75" s="5"/>
      <c r="R75" s="9"/>
    </row>
    <row r="76">
      <c r="A76" s="39"/>
      <c r="C76" s="21"/>
      <c r="E76" s="19"/>
      <c r="F76" s="5"/>
      <c r="H76" s="19"/>
      <c r="Q76" s="5"/>
      <c r="R76" s="9"/>
    </row>
    <row r="77">
      <c r="A77" s="39"/>
      <c r="C77" s="21"/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C79" s="5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3929"/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167</v>
      </c>
      <c r="G1" s="28"/>
      <c r="H1" s="1" t="s">
        <v>46</v>
      </c>
      <c r="I1" s="5">
        <f>I6-I7</f>
        <v>-747</v>
      </c>
      <c r="J1" s="9">
        <f>I1/COUNTIF(N:N, "&gt;=" &amp; TODAY())</f>
        <v>-747</v>
      </c>
      <c r="K1" s="1" t="s">
        <v>47</v>
      </c>
      <c r="L1" s="5">
        <f t="shared" ref="L1:L7" si="2">SUMIF(B:B,K1,C:I)</f>
        <v>62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46143.0</v>
      </c>
      <c r="B2" s="4" t="s">
        <v>80</v>
      </c>
      <c r="C2" s="21">
        <f>235+44+50</f>
        <v>329</v>
      </c>
      <c r="E2" s="1" t="s">
        <v>52</v>
      </c>
      <c r="F2" s="5">
        <f t="shared" si="1"/>
        <v>38</v>
      </c>
      <c r="G2" s="28"/>
      <c r="H2" s="1" t="s">
        <v>6</v>
      </c>
      <c r="I2" s="5">
        <f>SUMIF(B:B,H2,C:C)</f>
        <v>750</v>
      </c>
      <c r="K2" s="1" t="s">
        <v>53</v>
      </c>
      <c r="L2" s="5">
        <f t="shared" si="2"/>
        <v>0</v>
      </c>
      <c r="N2" s="39">
        <v>46143.0</v>
      </c>
      <c r="O2" s="40">
        <f t="shared" ref="O2:O32" si="3">sumif(A:A,N2,C:C)</f>
        <v>3232</v>
      </c>
      <c r="P2" s="40">
        <f>SUM(O2)</f>
        <v>3232</v>
      </c>
      <c r="Q2" s="5">
        <f t="shared" ref="Q2:Q32" si="4">P2/(ROW()-1)</f>
        <v>3232</v>
      </c>
      <c r="R2" s="9">
        <f t="shared" ref="R2:R32" si="5">count(N:N)*Q2</f>
        <v>100192</v>
      </c>
      <c r="T2" s="9"/>
      <c r="U2" s="9"/>
    </row>
    <row r="3">
      <c r="A3" s="39">
        <v>46143.0</v>
      </c>
      <c r="B3" s="4" t="s">
        <v>79</v>
      </c>
      <c r="C3" s="21">
        <v>205.0</v>
      </c>
      <c r="E3" s="1" t="s">
        <v>55</v>
      </c>
      <c r="F3" s="5">
        <f t="shared" si="1"/>
        <v>264</v>
      </c>
      <c r="G3" s="28"/>
      <c r="H3" s="1" t="s">
        <v>8</v>
      </c>
      <c r="I3" s="5">
        <f>SUMIF(B:B,H3,C:C)+I1</f>
        <v>3</v>
      </c>
      <c r="K3" s="1" t="s">
        <v>56</v>
      </c>
      <c r="L3" s="5">
        <f t="shared" si="2"/>
        <v>4</v>
      </c>
      <c r="N3" s="39">
        <v>46144.0</v>
      </c>
      <c r="O3" s="40">
        <f t="shared" si="3"/>
        <v>46</v>
      </c>
      <c r="P3" s="40">
        <f t="shared" ref="P3:P32" si="6">P2+O3</f>
        <v>3278</v>
      </c>
      <c r="Q3" s="5">
        <f t="shared" si="4"/>
        <v>1639</v>
      </c>
      <c r="R3" s="9">
        <f t="shared" si="5"/>
        <v>50809</v>
      </c>
    </row>
    <row r="4">
      <c r="A4" s="39">
        <v>46143.0</v>
      </c>
      <c r="B4" s="4" t="s">
        <v>8</v>
      </c>
      <c r="C4" s="21">
        <v>750.0</v>
      </c>
      <c r="E4" s="1" t="s">
        <v>57</v>
      </c>
      <c r="F4" s="5">
        <f>SUMIF(B:B,"*"&amp;E4&amp;"*",C:C)+SUM(L1:L7)</f>
        <v>228</v>
      </c>
      <c r="G4" s="28"/>
      <c r="H4" s="1" t="s">
        <v>58</v>
      </c>
      <c r="I4" s="5">
        <f>I2+I3</f>
        <v>753</v>
      </c>
      <c r="K4" s="1" t="s">
        <v>59</v>
      </c>
      <c r="L4" s="5">
        <f t="shared" si="2"/>
        <v>38</v>
      </c>
      <c r="N4" s="39">
        <v>46145.0</v>
      </c>
      <c r="O4" s="40">
        <f t="shared" si="3"/>
        <v>30</v>
      </c>
      <c r="P4" s="40">
        <f t="shared" si="6"/>
        <v>3308</v>
      </c>
      <c r="Q4" s="5">
        <f t="shared" si="4"/>
        <v>1102.666667</v>
      </c>
      <c r="R4" s="9">
        <f t="shared" si="5"/>
        <v>34182.66667</v>
      </c>
    </row>
    <row r="5">
      <c r="A5" s="39">
        <v>46143.0</v>
      </c>
      <c r="B5" s="4" t="s">
        <v>54</v>
      </c>
      <c r="C5" s="41">
        <f>800+215</f>
        <v>1015</v>
      </c>
      <c r="E5" s="42" t="s">
        <v>61</v>
      </c>
      <c r="F5" s="5">
        <f t="shared" ref="F5:F12" si="7">SUMIF(B:B,"*"&amp;E5&amp;"*",C:C)</f>
        <v>52</v>
      </c>
      <c r="G5" s="28"/>
      <c r="K5" s="1" t="s">
        <v>62</v>
      </c>
      <c r="L5" s="5">
        <f t="shared" si="2"/>
        <v>0</v>
      </c>
      <c r="N5" s="39">
        <v>46146.0</v>
      </c>
      <c r="O5" s="40">
        <f t="shared" si="3"/>
        <v>16</v>
      </c>
      <c r="P5" s="40">
        <f t="shared" si="6"/>
        <v>3324</v>
      </c>
      <c r="Q5" s="5">
        <f t="shared" si="4"/>
        <v>831</v>
      </c>
      <c r="R5" s="9">
        <f t="shared" si="5"/>
        <v>25761</v>
      </c>
    </row>
    <row r="6">
      <c r="A6" s="39">
        <v>46143.0</v>
      </c>
      <c r="B6" s="4" t="s">
        <v>6</v>
      </c>
      <c r="C6" s="21">
        <v>750.0</v>
      </c>
      <c r="E6" s="1" t="s">
        <v>64</v>
      </c>
      <c r="F6" s="5">
        <f t="shared" si="7"/>
        <v>28</v>
      </c>
      <c r="G6" s="28"/>
      <c r="H6" s="1" t="s">
        <v>65</v>
      </c>
      <c r="I6" s="21">
        <v>3481.0</v>
      </c>
      <c r="K6" s="1" t="s">
        <v>66</v>
      </c>
      <c r="L6" s="5">
        <f t="shared" si="2"/>
        <v>113</v>
      </c>
      <c r="N6" s="39">
        <v>46147.0</v>
      </c>
      <c r="O6" s="40">
        <f t="shared" si="3"/>
        <v>8</v>
      </c>
      <c r="P6" s="40">
        <f t="shared" si="6"/>
        <v>3332</v>
      </c>
      <c r="Q6" s="5">
        <f t="shared" si="4"/>
        <v>666.4</v>
      </c>
      <c r="R6" s="9">
        <f t="shared" si="5"/>
        <v>20658.4</v>
      </c>
    </row>
    <row r="7">
      <c r="A7" s="39">
        <v>46143.0</v>
      </c>
      <c r="B7" s="4" t="s">
        <v>63</v>
      </c>
      <c r="C7" s="21">
        <v>32.0</v>
      </c>
      <c r="E7" s="1" t="s">
        <v>54</v>
      </c>
      <c r="F7" s="5">
        <f t="shared" si="7"/>
        <v>1047</v>
      </c>
      <c r="G7" s="28"/>
      <c r="H7" s="1" t="s">
        <v>68</v>
      </c>
      <c r="I7" s="5">
        <f>sum(C:C)</f>
        <v>4228</v>
      </c>
      <c r="K7" s="1" t="s">
        <v>69</v>
      </c>
      <c r="L7" s="5">
        <f t="shared" si="2"/>
        <v>0</v>
      </c>
      <c r="N7" s="39">
        <v>46148.0</v>
      </c>
      <c r="O7" s="40">
        <f t="shared" si="3"/>
        <v>0</v>
      </c>
      <c r="P7" s="40">
        <f t="shared" si="6"/>
        <v>3332</v>
      </c>
      <c r="Q7" s="5">
        <f t="shared" si="4"/>
        <v>555.3333333</v>
      </c>
      <c r="R7" s="9">
        <f t="shared" si="5"/>
        <v>17215.33333</v>
      </c>
    </row>
    <row r="8">
      <c r="A8" s="39">
        <v>46143.0</v>
      </c>
      <c r="B8" s="4" t="s">
        <v>67</v>
      </c>
      <c r="C8" s="21">
        <v>22.0</v>
      </c>
      <c r="E8" s="1" t="s">
        <v>71</v>
      </c>
      <c r="F8" s="5">
        <f t="shared" si="7"/>
        <v>65</v>
      </c>
      <c r="G8" s="28"/>
      <c r="H8" s="1" t="s">
        <v>72</v>
      </c>
      <c r="I8" s="5">
        <f>sum(F:F)+I2+C4</f>
        <v>4003</v>
      </c>
      <c r="N8" s="39">
        <v>46149.0</v>
      </c>
      <c r="O8" s="40">
        <f t="shared" si="3"/>
        <v>0</v>
      </c>
      <c r="P8" s="40">
        <f t="shared" si="6"/>
        <v>3332</v>
      </c>
      <c r="Q8" s="5">
        <f t="shared" si="4"/>
        <v>476</v>
      </c>
      <c r="R8" s="9">
        <f t="shared" si="5"/>
        <v>14756</v>
      </c>
    </row>
    <row r="9">
      <c r="A9" s="39">
        <v>46143.0</v>
      </c>
      <c r="B9" s="4" t="s">
        <v>70</v>
      </c>
      <c r="C9" s="21">
        <v>9.0</v>
      </c>
      <c r="E9" s="1" t="s">
        <v>73</v>
      </c>
      <c r="F9" s="5">
        <f t="shared" si="7"/>
        <v>16</v>
      </c>
      <c r="G9" s="28"/>
      <c r="H9" s="1" t="s">
        <v>74</v>
      </c>
      <c r="I9" s="5">
        <f>I7-I8</f>
        <v>225</v>
      </c>
      <c r="N9" s="39">
        <v>46150.0</v>
      </c>
      <c r="O9" s="40">
        <f t="shared" si="3"/>
        <v>0</v>
      </c>
      <c r="P9" s="40">
        <f t="shared" si="6"/>
        <v>3332</v>
      </c>
      <c r="Q9" s="5">
        <f t="shared" si="4"/>
        <v>416.5</v>
      </c>
      <c r="R9" s="9">
        <f t="shared" si="5"/>
        <v>12911.5</v>
      </c>
    </row>
    <row r="10">
      <c r="A10" s="39">
        <v>46143.0</v>
      </c>
      <c r="B10" s="4" t="s">
        <v>81</v>
      </c>
      <c r="C10" s="21">
        <v>38.0</v>
      </c>
      <c r="E10" s="1" t="s">
        <v>75</v>
      </c>
      <c r="F10" s="5">
        <f t="shared" si="7"/>
        <v>40</v>
      </c>
      <c r="G10" s="28"/>
      <c r="N10" s="39">
        <v>46151.0</v>
      </c>
      <c r="O10" s="40">
        <f t="shared" si="3"/>
        <v>38</v>
      </c>
      <c r="P10" s="40">
        <f t="shared" si="6"/>
        <v>3370</v>
      </c>
      <c r="Q10" s="5">
        <f t="shared" si="4"/>
        <v>374.4444444</v>
      </c>
      <c r="R10" s="9">
        <f t="shared" si="5"/>
        <v>11607.77778</v>
      </c>
    </row>
    <row r="11">
      <c r="A11" s="39">
        <v>46143.0</v>
      </c>
      <c r="B11" s="4" t="s">
        <v>82</v>
      </c>
      <c r="C11" s="21">
        <v>6.0</v>
      </c>
      <c r="E11" s="1" t="s">
        <v>76</v>
      </c>
      <c r="F11" s="5">
        <f t="shared" si="7"/>
        <v>24</v>
      </c>
      <c r="G11" s="28"/>
      <c r="H11" s="1" t="s">
        <v>3</v>
      </c>
      <c r="I11" s="28">
        <f>I4/I6</f>
        <v>0.2163171502</v>
      </c>
      <c r="N11" s="39">
        <v>46152.0</v>
      </c>
      <c r="O11" s="40">
        <f t="shared" si="3"/>
        <v>16</v>
      </c>
      <c r="P11" s="40">
        <f t="shared" si="6"/>
        <v>3386</v>
      </c>
      <c r="Q11" s="5">
        <f t="shared" si="4"/>
        <v>338.6</v>
      </c>
      <c r="R11" s="9">
        <f t="shared" si="5"/>
        <v>10496.6</v>
      </c>
    </row>
    <row r="12">
      <c r="A12" s="39">
        <v>46143.0</v>
      </c>
      <c r="B12" s="4" t="s">
        <v>83</v>
      </c>
      <c r="C12" s="21">
        <v>5.0</v>
      </c>
      <c r="E12" s="1" t="s">
        <v>77</v>
      </c>
      <c r="F12" s="5">
        <f t="shared" si="7"/>
        <v>534</v>
      </c>
      <c r="G12" s="28"/>
      <c r="N12" s="39">
        <v>46153.0</v>
      </c>
      <c r="O12" s="40">
        <f t="shared" si="3"/>
        <v>21</v>
      </c>
      <c r="P12" s="40">
        <f t="shared" si="6"/>
        <v>3407</v>
      </c>
      <c r="Q12" s="5">
        <f t="shared" si="4"/>
        <v>309.7272727</v>
      </c>
      <c r="R12" s="9">
        <f t="shared" si="5"/>
        <v>9601.545455</v>
      </c>
    </row>
    <row r="13">
      <c r="A13" s="39">
        <v>46143.0</v>
      </c>
      <c r="B13" s="4" t="s">
        <v>84</v>
      </c>
      <c r="C13" s="21">
        <v>10.0</v>
      </c>
      <c r="E13" s="1"/>
      <c r="F13" s="5"/>
      <c r="N13" s="39">
        <v>46154.0</v>
      </c>
      <c r="O13" s="40">
        <f t="shared" si="3"/>
        <v>11</v>
      </c>
      <c r="P13" s="40">
        <f t="shared" si="6"/>
        <v>3418</v>
      </c>
      <c r="Q13" s="5">
        <f t="shared" si="4"/>
        <v>284.8333333</v>
      </c>
      <c r="R13" s="9">
        <f t="shared" si="5"/>
        <v>8829.833333</v>
      </c>
    </row>
    <row r="14">
      <c r="A14" s="39">
        <v>46143.0</v>
      </c>
      <c r="B14" s="4" t="s">
        <v>45</v>
      </c>
      <c r="C14" s="21">
        <v>7.0</v>
      </c>
      <c r="E14" s="1"/>
      <c r="F14" s="5"/>
      <c r="H14" s="19"/>
      <c r="N14" s="39">
        <v>46155.0</v>
      </c>
      <c r="O14" s="40">
        <f t="shared" si="3"/>
        <v>33</v>
      </c>
      <c r="P14" s="40">
        <f t="shared" si="6"/>
        <v>3451</v>
      </c>
      <c r="Q14" s="5">
        <f t="shared" si="4"/>
        <v>265.4615385</v>
      </c>
      <c r="R14" s="9">
        <f t="shared" si="5"/>
        <v>8229.307692</v>
      </c>
    </row>
    <row r="15">
      <c r="A15" s="39">
        <v>46143.0</v>
      </c>
      <c r="B15" s="4" t="s">
        <v>45</v>
      </c>
      <c r="C15" s="21">
        <v>10.0</v>
      </c>
      <c r="E15" s="1"/>
      <c r="H15" s="1"/>
      <c r="N15" s="39">
        <v>46156.0</v>
      </c>
      <c r="O15" s="40">
        <f t="shared" si="3"/>
        <v>20</v>
      </c>
      <c r="P15" s="40">
        <f t="shared" si="6"/>
        <v>3471</v>
      </c>
      <c r="Q15" s="5">
        <f t="shared" si="4"/>
        <v>247.9285714</v>
      </c>
      <c r="R15" s="9">
        <f t="shared" si="5"/>
        <v>7685.785714</v>
      </c>
    </row>
    <row r="16">
      <c r="A16" s="39">
        <v>46143.0</v>
      </c>
      <c r="B16" s="4" t="s">
        <v>45</v>
      </c>
      <c r="C16" s="21">
        <v>15.0</v>
      </c>
      <c r="H16" s="19"/>
      <c r="N16" s="39">
        <v>46157.0</v>
      </c>
      <c r="O16" s="40">
        <f t="shared" si="3"/>
        <v>58</v>
      </c>
      <c r="P16" s="40">
        <f t="shared" si="6"/>
        <v>3529</v>
      </c>
      <c r="Q16" s="5">
        <f t="shared" si="4"/>
        <v>235.2666667</v>
      </c>
      <c r="R16" s="9">
        <f t="shared" si="5"/>
        <v>7293.266667</v>
      </c>
    </row>
    <row r="17">
      <c r="A17" s="39">
        <v>46143.0</v>
      </c>
      <c r="B17" s="4" t="s">
        <v>85</v>
      </c>
      <c r="C17" s="21">
        <v>16.0</v>
      </c>
      <c r="H17" s="19"/>
      <c r="N17" s="39">
        <v>46158.0</v>
      </c>
      <c r="O17" s="40">
        <f t="shared" si="3"/>
        <v>87</v>
      </c>
      <c r="P17" s="40">
        <f t="shared" si="6"/>
        <v>3616</v>
      </c>
      <c r="Q17" s="5">
        <f t="shared" si="4"/>
        <v>226</v>
      </c>
      <c r="R17" s="9">
        <f t="shared" si="5"/>
        <v>7006</v>
      </c>
    </row>
    <row r="18">
      <c r="A18" s="39">
        <v>46143.0</v>
      </c>
      <c r="B18" s="4" t="s">
        <v>66</v>
      </c>
      <c r="C18" s="21">
        <v>5.0</v>
      </c>
      <c r="H18" s="19"/>
      <c r="N18" s="39">
        <v>46159.0</v>
      </c>
      <c r="O18" s="40">
        <f t="shared" si="3"/>
        <v>16</v>
      </c>
      <c r="P18" s="40">
        <f t="shared" si="6"/>
        <v>3632</v>
      </c>
      <c r="Q18" s="5">
        <f t="shared" si="4"/>
        <v>213.6470588</v>
      </c>
      <c r="R18" s="9">
        <f t="shared" si="5"/>
        <v>6623.058824</v>
      </c>
    </row>
    <row r="19">
      <c r="A19" s="39">
        <v>46143.0</v>
      </c>
      <c r="B19" s="4" t="s">
        <v>45</v>
      </c>
      <c r="C19" s="21">
        <v>8.0</v>
      </c>
      <c r="H19" s="19"/>
      <c r="N19" s="39">
        <v>46160.0</v>
      </c>
      <c r="O19" s="40">
        <f t="shared" si="3"/>
        <v>70</v>
      </c>
      <c r="P19" s="40">
        <f t="shared" si="6"/>
        <v>3702</v>
      </c>
      <c r="Q19" s="5">
        <f t="shared" si="4"/>
        <v>205.6666667</v>
      </c>
      <c r="R19" s="9">
        <f t="shared" si="5"/>
        <v>6375.666667</v>
      </c>
    </row>
    <row r="20">
      <c r="A20" s="39">
        <v>46144.0</v>
      </c>
      <c r="B20" s="4" t="s">
        <v>86</v>
      </c>
      <c r="C20" s="21">
        <v>20.0</v>
      </c>
      <c r="H20" s="19"/>
      <c r="N20" s="39">
        <v>46161.0</v>
      </c>
      <c r="O20" s="40">
        <f t="shared" si="3"/>
        <v>17</v>
      </c>
      <c r="P20" s="40">
        <f t="shared" si="6"/>
        <v>3719</v>
      </c>
      <c r="Q20" s="5">
        <f t="shared" si="4"/>
        <v>195.7368421</v>
      </c>
      <c r="R20" s="9">
        <f t="shared" si="5"/>
        <v>6067.842105</v>
      </c>
    </row>
    <row r="21">
      <c r="A21" s="39">
        <v>46144.0</v>
      </c>
      <c r="B21" s="4" t="s">
        <v>66</v>
      </c>
      <c r="C21" s="21">
        <v>26.0</v>
      </c>
      <c r="E21" s="19"/>
      <c r="F21" s="5"/>
      <c r="H21" s="19"/>
      <c r="N21" s="39">
        <v>46162.0</v>
      </c>
      <c r="O21" s="40">
        <f t="shared" si="3"/>
        <v>43</v>
      </c>
      <c r="P21" s="40">
        <f t="shared" si="6"/>
        <v>3762</v>
      </c>
      <c r="Q21" s="5">
        <f t="shared" si="4"/>
        <v>188.1</v>
      </c>
      <c r="R21" s="9">
        <f t="shared" si="5"/>
        <v>5831.1</v>
      </c>
    </row>
    <row r="22">
      <c r="A22" s="39">
        <v>46145.0</v>
      </c>
      <c r="B22" s="4" t="s">
        <v>66</v>
      </c>
      <c r="C22" s="21">
        <v>30.0</v>
      </c>
      <c r="E22" s="19"/>
      <c r="F22" s="5"/>
      <c r="H22" s="19"/>
      <c r="N22" s="39">
        <v>46163.0</v>
      </c>
      <c r="O22" s="40">
        <f t="shared" si="3"/>
        <v>0</v>
      </c>
      <c r="P22" s="40">
        <f t="shared" si="6"/>
        <v>3762</v>
      </c>
      <c r="Q22" s="5">
        <f t="shared" si="4"/>
        <v>179.1428571</v>
      </c>
      <c r="R22" s="9">
        <f t="shared" si="5"/>
        <v>5553.428571</v>
      </c>
    </row>
    <row r="23">
      <c r="A23" s="39">
        <v>46146.0</v>
      </c>
      <c r="B23" s="4" t="s">
        <v>71</v>
      </c>
      <c r="C23" s="21">
        <v>16.0</v>
      </c>
      <c r="E23" s="19"/>
      <c r="F23" s="5"/>
      <c r="H23" s="19"/>
      <c r="N23" s="39">
        <v>46164.0</v>
      </c>
      <c r="O23" s="40">
        <f t="shared" si="3"/>
        <v>122</v>
      </c>
      <c r="P23" s="40">
        <f t="shared" si="6"/>
        <v>3884</v>
      </c>
      <c r="Q23" s="5">
        <f t="shared" si="4"/>
        <v>176.5454545</v>
      </c>
      <c r="R23" s="9">
        <f t="shared" si="5"/>
        <v>5472.909091</v>
      </c>
    </row>
    <row r="24">
      <c r="A24" s="39">
        <v>46147.0</v>
      </c>
      <c r="B24" s="4" t="s">
        <v>76</v>
      </c>
      <c r="C24" s="21">
        <v>8.0</v>
      </c>
      <c r="F24" s="5"/>
      <c r="H24" s="19"/>
      <c r="N24" s="39">
        <v>46165.0</v>
      </c>
      <c r="O24" s="40">
        <f t="shared" si="3"/>
        <v>143</v>
      </c>
      <c r="P24" s="40">
        <f t="shared" si="6"/>
        <v>4027</v>
      </c>
      <c r="Q24" s="5">
        <f t="shared" si="4"/>
        <v>175.0869565</v>
      </c>
      <c r="R24" s="9">
        <f t="shared" si="5"/>
        <v>5427.695652</v>
      </c>
    </row>
    <row r="25">
      <c r="A25" s="39">
        <v>46151.0</v>
      </c>
      <c r="B25" s="4" t="s">
        <v>87</v>
      </c>
      <c r="C25" s="21">
        <v>5.0</v>
      </c>
      <c r="F25" s="5"/>
      <c r="H25" s="19"/>
      <c r="N25" s="39">
        <v>46166.0</v>
      </c>
      <c r="O25" s="40">
        <f t="shared" si="3"/>
        <v>16</v>
      </c>
      <c r="P25" s="40">
        <f t="shared" si="6"/>
        <v>4043</v>
      </c>
      <c r="Q25" s="5">
        <f t="shared" si="4"/>
        <v>168.4583333</v>
      </c>
      <c r="R25" s="9">
        <f t="shared" si="5"/>
        <v>5222.208333</v>
      </c>
    </row>
    <row r="26">
      <c r="A26" s="39">
        <v>46151.0</v>
      </c>
      <c r="B26" s="4" t="s">
        <v>88</v>
      </c>
      <c r="C26" s="21">
        <v>16.0</v>
      </c>
      <c r="F26" s="5"/>
      <c r="H26" s="19"/>
      <c r="N26" s="39">
        <v>46167.0</v>
      </c>
      <c r="O26" s="40">
        <f t="shared" si="3"/>
        <v>28</v>
      </c>
      <c r="P26" s="40">
        <f t="shared" si="6"/>
        <v>4071</v>
      </c>
      <c r="Q26" s="5">
        <f t="shared" si="4"/>
        <v>162.84</v>
      </c>
      <c r="R26" s="9">
        <f t="shared" si="5"/>
        <v>5048.04</v>
      </c>
    </row>
    <row r="27">
      <c r="A27" s="39">
        <v>46151.0</v>
      </c>
      <c r="B27" s="4" t="s">
        <v>76</v>
      </c>
      <c r="C27" s="21">
        <v>6.0</v>
      </c>
      <c r="F27" s="5"/>
      <c r="H27" s="19"/>
      <c r="N27" s="39">
        <v>46168.0</v>
      </c>
      <c r="O27" s="40">
        <f t="shared" si="3"/>
        <v>28</v>
      </c>
      <c r="P27" s="40">
        <f t="shared" si="6"/>
        <v>4099</v>
      </c>
      <c r="Q27" s="5">
        <f t="shared" si="4"/>
        <v>157.6538462</v>
      </c>
      <c r="R27" s="9">
        <f t="shared" si="5"/>
        <v>4887.269231</v>
      </c>
    </row>
    <row r="28">
      <c r="A28" s="39">
        <v>46151.0</v>
      </c>
      <c r="B28" s="4" t="s">
        <v>52</v>
      </c>
      <c r="C28" s="21">
        <v>11.0</v>
      </c>
      <c r="F28" s="5"/>
      <c r="H28" s="19"/>
      <c r="N28" s="39">
        <v>46169.0</v>
      </c>
      <c r="O28" s="40">
        <f t="shared" si="3"/>
        <v>16</v>
      </c>
      <c r="P28" s="40">
        <f t="shared" si="6"/>
        <v>4115</v>
      </c>
      <c r="Q28" s="5">
        <f t="shared" si="4"/>
        <v>152.4074074</v>
      </c>
      <c r="R28" s="9">
        <f t="shared" si="5"/>
        <v>4724.62963</v>
      </c>
    </row>
    <row r="29">
      <c r="A29" s="39">
        <v>46152.0</v>
      </c>
      <c r="B29" s="4" t="s">
        <v>87</v>
      </c>
      <c r="C29" s="21">
        <v>16.0</v>
      </c>
      <c r="F29" s="5"/>
      <c r="H29" s="19"/>
      <c r="N29" s="39">
        <v>46170.0</v>
      </c>
      <c r="O29" s="40">
        <f t="shared" si="3"/>
        <v>40</v>
      </c>
      <c r="P29" s="40">
        <f t="shared" si="6"/>
        <v>4155</v>
      </c>
      <c r="Q29" s="5">
        <f t="shared" si="4"/>
        <v>148.3928571</v>
      </c>
      <c r="R29" s="9">
        <f t="shared" si="5"/>
        <v>4600.178571</v>
      </c>
    </row>
    <row r="30">
      <c r="A30" s="39">
        <v>46153.0</v>
      </c>
      <c r="B30" s="4" t="s">
        <v>47</v>
      </c>
      <c r="C30" s="21">
        <v>21.0</v>
      </c>
      <c r="F30" s="5"/>
      <c r="H30" s="19"/>
      <c r="N30" s="39">
        <v>46171.0</v>
      </c>
      <c r="O30" s="40">
        <f t="shared" si="3"/>
        <v>13</v>
      </c>
      <c r="P30" s="40">
        <f t="shared" si="6"/>
        <v>4168</v>
      </c>
      <c r="Q30" s="5">
        <f t="shared" si="4"/>
        <v>143.7241379</v>
      </c>
      <c r="R30" s="9">
        <f t="shared" si="5"/>
        <v>4455.448276</v>
      </c>
    </row>
    <row r="31">
      <c r="A31" s="39">
        <v>46154.0</v>
      </c>
      <c r="B31" s="4" t="s">
        <v>57</v>
      </c>
      <c r="C31" s="21">
        <v>3.0</v>
      </c>
      <c r="E31" s="19"/>
      <c r="F31" s="5"/>
      <c r="H31" s="19"/>
      <c r="N31" s="39">
        <v>46172.0</v>
      </c>
      <c r="O31" s="40">
        <f t="shared" si="3"/>
        <v>60</v>
      </c>
      <c r="P31" s="40">
        <f t="shared" si="6"/>
        <v>4228</v>
      </c>
      <c r="Q31" s="5">
        <f t="shared" si="4"/>
        <v>140.9333333</v>
      </c>
      <c r="R31" s="9">
        <f t="shared" si="5"/>
        <v>4368.933333</v>
      </c>
    </row>
    <row r="32">
      <c r="A32" s="39">
        <v>46154.0</v>
      </c>
      <c r="B32" s="4" t="s">
        <v>47</v>
      </c>
      <c r="C32" s="21">
        <v>3.0</v>
      </c>
      <c r="E32" s="19"/>
      <c r="F32" s="5"/>
      <c r="H32" s="19"/>
      <c r="N32" s="39">
        <v>46173.0</v>
      </c>
      <c r="O32" s="40">
        <f t="shared" si="3"/>
        <v>0</v>
      </c>
      <c r="P32" s="40">
        <f t="shared" si="6"/>
        <v>4228</v>
      </c>
      <c r="Q32" s="5">
        <f t="shared" si="4"/>
        <v>136.3870968</v>
      </c>
      <c r="R32" s="9">
        <f t="shared" si="5"/>
        <v>4228</v>
      </c>
    </row>
    <row r="33">
      <c r="A33" s="39">
        <v>46154.0</v>
      </c>
      <c r="B33" s="4" t="s">
        <v>89</v>
      </c>
      <c r="C33" s="21">
        <v>5.0</v>
      </c>
      <c r="E33" s="19"/>
      <c r="F33" s="5"/>
      <c r="H33" s="19"/>
      <c r="N33" s="39"/>
      <c r="Q33" s="5"/>
      <c r="R33" s="9"/>
    </row>
    <row r="34">
      <c r="A34" s="39">
        <v>46155.0</v>
      </c>
      <c r="B34" s="4" t="s">
        <v>59</v>
      </c>
      <c r="C34" s="21">
        <v>33.0</v>
      </c>
      <c r="E34" s="19"/>
      <c r="F34" s="5"/>
      <c r="H34" s="19"/>
      <c r="Q34" s="5"/>
      <c r="R34" s="9"/>
    </row>
    <row r="35">
      <c r="A35" s="39">
        <v>46156.0</v>
      </c>
      <c r="B35" s="4" t="s">
        <v>90</v>
      </c>
      <c r="C35" s="21">
        <v>10.0</v>
      </c>
      <c r="E35" s="19"/>
      <c r="F35" s="5"/>
      <c r="H35" s="19"/>
      <c r="Q35" s="5"/>
      <c r="R35" s="9"/>
    </row>
    <row r="36">
      <c r="A36" s="39">
        <v>46156.0</v>
      </c>
      <c r="B36" s="4" t="s">
        <v>76</v>
      </c>
      <c r="C36" s="21">
        <v>1.0</v>
      </c>
      <c r="E36" s="19"/>
      <c r="F36" s="5"/>
      <c r="H36" s="19"/>
      <c r="Q36" s="5"/>
      <c r="R36" s="9"/>
    </row>
    <row r="37">
      <c r="A37" s="39">
        <v>46156.0</v>
      </c>
      <c r="B37" s="4" t="s">
        <v>88</v>
      </c>
      <c r="C37" s="21">
        <v>9.0</v>
      </c>
      <c r="E37" s="19"/>
      <c r="F37" s="5"/>
      <c r="H37" s="19"/>
      <c r="Q37" s="5"/>
      <c r="R37" s="9"/>
    </row>
    <row r="38">
      <c r="A38" s="39">
        <v>46157.0</v>
      </c>
      <c r="B38" s="4" t="s">
        <v>88</v>
      </c>
      <c r="C38" s="21">
        <v>9.0</v>
      </c>
      <c r="E38" s="19"/>
      <c r="F38" s="5"/>
      <c r="H38" s="19"/>
      <c r="Q38" s="5"/>
      <c r="R38" s="9"/>
    </row>
    <row r="39">
      <c r="A39" s="39">
        <v>46157.0</v>
      </c>
      <c r="B39" s="4" t="s">
        <v>91</v>
      </c>
      <c r="C39" s="21">
        <v>28.0</v>
      </c>
      <c r="E39" s="19"/>
      <c r="F39" s="5"/>
      <c r="H39" s="19"/>
      <c r="Q39" s="5"/>
      <c r="R39" s="9"/>
    </row>
    <row r="40">
      <c r="A40" s="39">
        <v>46157.0</v>
      </c>
      <c r="B40" s="4" t="s">
        <v>47</v>
      </c>
      <c r="C40" s="21">
        <v>10.0</v>
      </c>
      <c r="E40" s="19"/>
      <c r="F40" s="5"/>
      <c r="H40" s="19"/>
      <c r="Q40" s="5"/>
      <c r="R40" s="9"/>
    </row>
    <row r="41">
      <c r="A41" s="39">
        <v>46157.0</v>
      </c>
      <c r="B41" s="4" t="s">
        <v>66</v>
      </c>
      <c r="C41" s="21">
        <v>11.0</v>
      </c>
      <c r="E41" s="19"/>
      <c r="F41" s="5"/>
      <c r="H41" s="19"/>
      <c r="Q41" s="5"/>
      <c r="R41" s="9"/>
    </row>
    <row r="42">
      <c r="A42" s="39">
        <v>46158.0</v>
      </c>
      <c r="B42" s="4" t="s">
        <v>45</v>
      </c>
      <c r="C42" s="21">
        <f>15+57</f>
        <v>72</v>
      </c>
      <c r="E42" s="19"/>
      <c r="F42" s="5"/>
      <c r="H42" s="19"/>
      <c r="Q42" s="5"/>
      <c r="R42" s="9"/>
    </row>
    <row r="43">
      <c r="A43" s="39">
        <v>46158.0</v>
      </c>
      <c r="B43" s="4" t="s">
        <v>92</v>
      </c>
      <c r="C43" s="21">
        <v>6.0</v>
      </c>
      <c r="E43" s="19"/>
      <c r="F43" s="5"/>
      <c r="H43" s="19"/>
      <c r="Q43" s="5"/>
      <c r="R43" s="9"/>
    </row>
    <row r="44">
      <c r="A44" s="39">
        <v>46158.0</v>
      </c>
      <c r="B44" s="4" t="s">
        <v>47</v>
      </c>
      <c r="C44" s="21">
        <v>9.0</v>
      </c>
      <c r="E44" s="19"/>
      <c r="F44" s="5"/>
      <c r="H44" s="19"/>
      <c r="Q44" s="5"/>
      <c r="R44" s="9"/>
    </row>
    <row r="45">
      <c r="A45" s="39">
        <v>46159.0</v>
      </c>
      <c r="B45" s="4" t="s">
        <v>90</v>
      </c>
      <c r="C45" s="21">
        <v>11.0</v>
      </c>
      <c r="E45" s="19"/>
      <c r="F45" s="5"/>
      <c r="H45" s="19"/>
      <c r="Q45" s="5"/>
      <c r="R45" s="9"/>
    </row>
    <row r="46">
      <c r="A46" s="39">
        <v>46159.0</v>
      </c>
      <c r="B46" s="4" t="s">
        <v>73</v>
      </c>
      <c r="C46" s="21">
        <v>5.0</v>
      </c>
      <c r="E46" s="19"/>
      <c r="F46" s="5"/>
      <c r="H46" s="19"/>
      <c r="Q46" s="5"/>
      <c r="R46" s="9"/>
    </row>
    <row r="47">
      <c r="A47" s="39">
        <v>46160.0</v>
      </c>
      <c r="B47" s="4" t="s">
        <v>73</v>
      </c>
      <c r="C47" s="21">
        <v>11.0</v>
      </c>
      <c r="E47" s="19"/>
      <c r="F47" s="5"/>
      <c r="H47" s="19"/>
      <c r="Q47" s="5"/>
      <c r="R47" s="9"/>
    </row>
    <row r="48">
      <c r="A48" s="39">
        <v>46160.0</v>
      </c>
      <c r="B48" s="4" t="s">
        <v>57</v>
      </c>
      <c r="C48" s="21">
        <v>6.0</v>
      </c>
      <c r="E48" s="19"/>
      <c r="F48" s="5"/>
      <c r="H48" s="19"/>
      <c r="Q48" s="5"/>
      <c r="R48" s="9"/>
    </row>
    <row r="49">
      <c r="A49" s="39">
        <v>46160.0</v>
      </c>
      <c r="B49" s="4" t="s">
        <v>93</v>
      </c>
      <c r="C49" s="21">
        <v>53.0</v>
      </c>
      <c r="E49" s="19"/>
      <c r="F49" s="5"/>
      <c r="H49" s="19"/>
      <c r="Q49" s="5"/>
      <c r="R49" s="9"/>
    </row>
    <row r="50">
      <c r="A50" s="39">
        <v>46161.0</v>
      </c>
      <c r="B50" s="4" t="s">
        <v>94</v>
      </c>
      <c r="C50" s="21">
        <v>17.0</v>
      </c>
      <c r="E50" s="19"/>
      <c r="F50" s="5"/>
      <c r="H50" s="19"/>
      <c r="Q50" s="5"/>
      <c r="R50" s="9"/>
    </row>
    <row r="51">
      <c r="A51" s="39">
        <v>46162.0</v>
      </c>
      <c r="B51" s="4" t="s">
        <v>95</v>
      </c>
      <c r="C51" s="21">
        <v>34.0</v>
      </c>
      <c r="E51" s="19"/>
      <c r="F51" s="5"/>
      <c r="H51" s="19"/>
      <c r="Q51" s="5"/>
      <c r="R51" s="9"/>
    </row>
    <row r="52">
      <c r="A52" s="39">
        <v>46162.0</v>
      </c>
      <c r="B52" s="4" t="s">
        <v>96</v>
      </c>
      <c r="C52" s="21">
        <v>9.0</v>
      </c>
      <c r="E52" s="5">
        <f>SUM(C56, C54, C53, C52, C51, C49, C50, C47,C57)</f>
        <v>266</v>
      </c>
      <c r="F52" s="5"/>
      <c r="H52" s="19"/>
      <c r="Q52" s="5"/>
      <c r="R52" s="9"/>
    </row>
    <row r="53">
      <c r="A53" s="39">
        <v>46164.0</v>
      </c>
      <c r="B53" s="4" t="s">
        <v>95</v>
      </c>
      <c r="C53" s="21">
        <v>23.0</v>
      </c>
      <c r="E53" s="19">
        <f>22+22+36+43+22+32+24+9+15+30</f>
        <v>255</v>
      </c>
      <c r="F53" s="5"/>
      <c r="H53" s="19"/>
      <c r="Q53" s="5"/>
      <c r="R53" s="9"/>
    </row>
    <row r="54">
      <c r="A54" s="39">
        <v>46164.0</v>
      </c>
      <c r="B54" s="4" t="s">
        <v>96</v>
      </c>
      <c r="C54" s="21">
        <v>10.0</v>
      </c>
      <c r="E54" s="19"/>
      <c r="F54" s="5"/>
      <c r="H54" s="19"/>
      <c r="Q54" s="5"/>
      <c r="R54" s="9"/>
    </row>
    <row r="55">
      <c r="A55" s="39">
        <v>46164.0</v>
      </c>
      <c r="B55" s="4" t="s">
        <v>56</v>
      </c>
      <c r="C55" s="21">
        <v>4.0</v>
      </c>
      <c r="E55" s="19"/>
      <c r="F55" s="5"/>
      <c r="H55" s="19"/>
      <c r="Q55" s="5"/>
      <c r="R55" s="9"/>
    </row>
    <row r="56">
      <c r="A56" s="39">
        <v>46164.0</v>
      </c>
      <c r="B56" s="4" t="s">
        <v>93</v>
      </c>
      <c r="C56" s="21">
        <v>85.0</v>
      </c>
      <c r="E56" s="19"/>
      <c r="F56" s="5"/>
      <c r="H56" s="19"/>
      <c r="Q56" s="5"/>
      <c r="R56" s="9"/>
    </row>
    <row r="57">
      <c r="A57" s="39">
        <v>46165.0</v>
      </c>
      <c r="B57" s="4" t="s">
        <v>95</v>
      </c>
      <c r="C57" s="43">
        <v>24.0</v>
      </c>
      <c r="E57" s="19"/>
      <c r="F57" s="5"/>
      <c r="H57" s="19"/>
      <c r="Q57" s="5"/>
      <c r="R57" s="9"/>
    </row>
    <row r="58">
      <c r="A58" s="39">
        <v>46165.0</v>
      </c>
      <c r="B58" s="4" t="s">
        <v>97</v>
      </c>
      <c r="C58" s="21">
        <v>10.0</v>
      </c>
      <c r="E58" s="19"/>
      <c r="F58" s="5"/>
      <c r="H58" s="19"/>
      <c r="Q58" s="5"/>
      <c r="R58" s="9"/>
    </row>
    <row r="59">
      <c r="A59" s="39">
        <v>46165.0</v>
      </c>
      <c r="B59" s="4" t="s">
        <v>98</v>
      </c>
      <c r="C59" s="21">
        <v>16.0</v>
      </c>
      <c r="E59" s="19"/>
      <c r="F59" s="5"/>
      <c r="H59" s="19"/>
      <c r="Q59" s="5"/>
      <c r="R59" s="9"/>
    </row>
    <row r="60">
      <c r="A60" s="39">
        <v>46165.0</v>
      </c>
      <c r="B60" s="4" t="s">
        <v>93</v>
      </c>
      <c r="C60" s="21">
        <v>24.0</v>
      </c>
      <c r="E60" s="19"/>
      <c r="F60" s="5"/>
      <c r="H60" s="19"/>
      <c r="Q60" s="5"/>
      <c r="R60" s="9"/>
    </row>
    <row r="61">
      <c r="A61" s="39">
        <v>46165.0</v>
      </c>
      <c r="B61" s="4" t="s">
        <v>99</v>
      </c>
      <c r="C61" s="21">
        <v>69.0</v>
      </c>
      <c r="E61" s="19"/>
      <c r="F61" s="5"/>
      <c r="H61" s="19"/>
      <c r="Q61" s="5"/>
      <c r="R61" s="9"/>
    </row>
    <row r="62">
      <c r="A62" s="39">
        <v>46166.0</v>
      </c>
      <c r="B62" s="4" t="s">
        <v>88</v>
      </c>
      <c r="C62" s="21">
        <v>3.0</v>
      </c>
      <c r="E62" s="19"/>
      <c r="F62" s="5"/>
      <c r="H62" s="19"/>
      <c r="Q62" s="5"/>
      <c r="R62" s="9"/>
    </row>
    <row r="63">
      <c r="A63" s="39">
        <v>46166.0</v>
      </c>
      <c r="B63" s="4" t="s">
        <v>47</v>
      </c>
      <c r="C63" s="21">
        <v>4.0</v>
      </c>
      <c r="E63" s="19"/>
      <c r="F63" s="5"/>
      <c r="H63" s="19"/>
      <c r="Q63" s="5"/>
      <c r="R63" s="9"/>
    </row>
    <row r="64">
      <c r="A64" s="39">
        <v>46166.0</v>
      </c>
      <c r="B64" s="4" t="s">
        <v>76</v>
      </c>
      <c r="C64" s="21">
        <v>9.0</v>
      </c>
      <c r="E64" s="19"/>
      <c r="F64" s="5"/>
      <c r="H64" s="19"/>
      <c r="Q64" s="5"/>
      <c r="R64" s="9"/>
    </row>
    <row r="65">
      <c r="A65" s="39">
        <v>46167.0</v>
      </c>
      <c r="B65" s="4" t="s">
        <v>47</v>
      </c>
      <c r="C65" s="21">
        <v>15.0</v>
      </c>
      <c r="E65" s="19"/>
      <c r="F65" s="5"/>
      <c r="H65" s="19"/>
      <c r="Q65" s="5"/>
      <c r="R65" s="9"/>
    </row>
    <row r="66">
      <c r="A66" s="39">
        <v>46167.0</v>
      </c>
      <c r="B66" s="4" t="s">
        <v>66</v>
      </c>
      <c r="C66" s="21">
        <v>13.0</v>
      </c>
      <c r="E66" s="19"/>
      <c r="F66" s="5"/>
      <c r="H66" s="19"/>
      <c r="Q66" s="5"/>
      <c r="R66" s="9"/>
    </row>
    <row r="67">
      <c r="A67" s="39">
        <v>46168.0</v>
      </c>
      <c r="B67" s="4" t="s">
        <v>66</v>
      </c>
      <c r="C67" s="21">
        <f>33+9-14</f>
        <v>28</v>
      </c>
      <c r="E67" s="19"/>
      <c r="F67" s="5"/>
      <c r="H67" s="19"/>
      <c r="Q67" s="5"/>
      <c r="R67" s="9"/>
    </row>
    <row r="68">
      <c r="A68" s="39">
        <v>46169.0</v>
      </c>
      <c r="B68" s="4" t="s">
        <v>100</v>
      </c>
      <c r="C68" s="21">
        <v>16.0</v>
      </c>
      <c r="E68" s="19"/>
      <c r="F68" s="5"/>
      <c r="H68" s="19"/>
      <c r="Q68" s="5"/>
      <c r="R68" s="9"/>
    </row>
    <row r="69">
      <c r="A69" s="39">
        <v>46170.0</v>
      </c>
      <c r="B69" s="4" t="s">
        <v>101</v>
      </c>
      <c r="C69" s="21">
        <v>12.0</v>
      </c>
      <c r="E69" s="19"/>
      <c r="F69" s="5"/>
      <c r="H69" s="19"/>
      <c r="Q69" s="5"/>
      <c r="R69" s="9"/>
    </row>
    <row r="70">
      <c r="A70" s="39">
        <v>46170.0</v>
      </c>
      <c r="B70" s="4" t="s">
        <v>45</v>
      </c>
      <c r="C70" s="21">
        <v>22.0</v>
      </c>
      <c r="E70" s="19"/>
      <c r="F70" s="5"/>
      <c r="H70" s="19"/>
      <c r="Q70" s="5"/>
      <c r="R70" s="9"/>
    </row>
    <row r="71">
      <c r="A71" s="39">
        <v>46170.0</v>
      </c>
      <c r="B71" s="4" t="s">
        <v>88</v>
      </c>
      <c r="C71" s="21">
        <v>6.0</v>
      </c>
      <c r="E71" s="19"/>
      <c r="F71" s="5"/>
      <c r="H71" s="19"/>
      <c r="Q71" s="5"/>
      <c r="R71" s="9"/>
    </row>
    <row r="72">
      <c r="A72" s="39">
        <v>46171.0</v>
      </c>
      <c r="B72" s="4" t="s">
        <v>57</v>
      </c>
      <c r="C72" s="21">
        <v>2.0</v>
      </c>
      <c r="E72" s="19"/>
      <c r="F72" s="5"/>
      <c r="H72" s="19"/>
      <c r="Q72" s="5"/>
      <c r="R72" s="9"/>
    </row>
    <row r="73">
      <c r="A73" s="39">
        <v>46171.0</v>
      </c>
      <c r="B73" s="4" t="s">
        <v>52</v>
      </c>
      <c r="C73" s="21">
        <v>11.0</v>
      </c>
      <c r="E73" s="19"/>
      <c r="F73" s="5"/>
      <c r="H73" s="19"/>
      <c r="Q73" s="5"/>
      <c r="R73" s="9"/>
    </row>
    <row r="74">
      <c r="A74" s="39">
        <v>46172.0</v>
      </c>
      <c r="B74" s="4" t="s">
        <v>102</v>
      </c>
      <c r="C74" s="21">
        <v>18.0</v>
      </c>
      <c r="E74" s="19"/>
      <c r="F74" s="5"/>
      <c r="H74" s="19"/>
      <c r="Q74" s="5"/>
      <c r="R74" s="9"/>
    </row>
    <row r="75">
      <c r="A75" s="39">
        <v>46172.0</v>
      </c>
      <c r="B75" s="4" t="s">
        <v>103</v>
      </c>
      <c r="C75" s="21">
        <v>4.0</v>
      </c>
      <c r="E75" s="19"/>
      <c r="F75" s="5"/>
      <c r="H75" s="19"/>
      <c r="Q75" s="5"/>
      <c r="R75" s="9"/>
    </row>
    <row r="76">
      <c r="A76" s="39">
        <v>46172.0</v>
      </c>
      <c r="B76" s="4" t="s">
        <v>45</v>
      </c>
      <c r="C76" s="21">
        <f>15+18</f>
        <v>33</v>
      </c>
      <c r="E76" s="19"/>
      <c r="F76" s="5"/>
      <c r="H76" s="19"/>
      <c r="Q76" s="5"/>
      <c r="R76" s="9"/>
    </row>
    <row r="77">
      <c r="A77" s="39">
        <v>46172.0</v>
      </c>
      <c r="B77" s="4" t="s">
        <v>59</v>
      </c>
      <c r="C77" s="21">
        <v>5.0</v>
      </c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C79" s="5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57 E52 B59:B999">
    <cfRule type="expression" dxfId="2" priority="1">
      <formula>SUMPRODUCT(--ISNUMBER(SEARCH(TRANSPOSE($E$1:$E$12), B1)))&gt;0</formula>
    </cfRule>
  </conditionalFormatting>
  <conditionalFormatting sqref="B1:B57 E52 B59:B999">
    <cfRule type="expression" dxfId="2" priority="2">
      <formula>SUMPRODUCT(--ISNUMBER(SEARCH(TRANSPOSE($H$2:$H$3), B1)))&gt;0</formula>
    </cfRule>
  </conditionalFormatting>
  <conditionalFormatting sqref="B1:B57 E52 B59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93</v>
      </c>
      <c r="G1" s="28"/>
      <c r="H1" s="1" t="s">
        <v>46</v>
      </c>
      <c r="I1" s="5">
        <f>I6-I7</f>
        <v>-261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153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" t="s">
        <v>104</v>
      </c>
      <c r="T1" s="1"/>
      <c r="U1" s="1"/>
      <c r="V1" s="1"/>
      <c r="W1" s="19"/>
      <c r="X1" s="19"/>
      <c r="Y1" s="19"/>
      <c r="Z1" s="19"/>
    </row>
    <row r="2">
      <c r="A2" s="39">
        <v>46113.0</v>
      </c>
      <c r="B2" s="4" t="s">
        <v>8</v>
      </c>
      <c r="C2" s="21">
        <v>1000.0</v>
      </c>
      <c r="E2" s="1" t="s">
        <v>52</v>
      </c>
      <c r="F2" s="5">
        <f t="shared" si="1"/>
        <v>33</v>
      </c>
      <c r="G2" s="28"/>
      <c r="H2" s="1" t="s">
        <v>6</v>
      </c>
      <c r="I2" s="5">
        <f>SUMIF(B:B,H2,C:C)</f>
        <v>500</v>
      </c>
      <c r="K2" s="1" t="s">
        <v>53</v>
      </c>
      <c r="L2" s="5">
        <f t="shared" si="2"/>
        <v>37</v>
      </c>
      <c r="N2" s="39">
        <v>46113.0</v>
      </c>
      <c r="O2" s="5">
        <f>sumif(A:A,N2,C:C)-sum(C2:C4)</f>
        <v>156</v>
      </c>
      <c r="P2" s="5">
        <f>SUM(O2)</f>
        <v>156</v>
      </c>
      <c r="Q2" s="5">
        <f t="shared" ref="Q2:Q31" si="3">P2/(ROW()-1)</f>
        <v>156</v>
      </c>
      <c r="R2" s="9">
        <f t="shared" ref="R2:R31" si="4">count(N:N)*Q2</f>
        <v>4680</v>
      </c>
      <c r="S2" s="5">
        <f t="shared" ref="S2:S31" si="5">$I$1-(R2-P2)</f>
        <v>-4785</v>
      </c>
      <c r="T2" s="9"/>
      <c r="U2" s="9"/>
    </row>
    <row r="3">
      <c r="A3" s="39">
        <v>46113.0</v>
      </c>
      <c r="B3" s="4" t="s">
        <v>54</v>
      </c>
      <c r="C3" s="41">
        <f>800+187+15</f>
        <v>1002</v>
      </c>
      <c r="E3" s="1" t="s">
        <v>55</v>
      </c>
      <c r="F3" s="5">
        <f t="shared" si="1"/>
        <v>221</v>
      </c>
      <c r="G3" s="28"/>
      <c r="H3" s="1" t="s">
        <v>8</v>
      </c>
      <c r="I3" s="5">
        <f>SUMIF(B:B,H3,C:C)+I1</f>
        <v>739</v>
      </c>
      <c r="K3" s="1" t="s">
        <v>56</v>
      </c>
      <c r="L3" s="5">
        <f t="shared" si="2"/>
        <v>4</v>
      </c>
      <c r="N3" s="39">
        <v>46114.0</v>
      </c>
      <c r="O3" s="40">
        <f t="shared" ref="O3:O31" si="6">sumif(A:A,N3,C:C)</f>
        <v>31</v>
      </c>
      <c r="P3" s="5">
        <f t="shared" ref="P3:P31" si="7">P2+O3</f>
        <v>187</v>
      </c>
      <c r="Q3" s="5">
        <f t="shared" si="3"/>
        <v>93.5</v>
      </c>
      <c r="R3" s="9">
        <f t="shared" si="4"/>
        <v>2805</v>
      </c>
      <c r="S3" s="5">
        <f t="shared" si="5"/>
        <v>-2879</v>
      </c>
    </row>
    <row r="4">
      <c r="A4" s="39">
        <v>46113.0</v>
      </c>
      <c r="B4" s="4" t="s">
        <v>6</v>
      </c>
      <c r="C4" s="21">
        <v>500.0</v>
      </c>
      <c r="E4" s="1" t="s">
        <v>57</v>
      </c>
      <c r="F4" s="5">
        <f>SUMIF(B:B,"*"&amp;E4&amp;"*",C:C)+SUM(L1:L7)</f>
        <v>346</v>
      </c>
      <c r="G4" s="28"/>
      <c r="H4" s="1" t="s">
        <v>58</v>
      </c>
      <c r="I4" s="5">
        <f>I2+I3</f>
        <v>1239</v>
      </c>
      <c r="K4" s="1" t="s">
        <v>59</v>
      </c>
      <c r="L4" s="5">
        <f t="shared" si="2"/>
        <v>73</v>
      </c>
      <c r="N4" s="39">
        <v>46115.0</v>
      </c>
      <c r="O4" s="40">
        <f t="shared" si="6"/>
        <v>18</v>
      </c>
      <c r="P4" s="5">
        <f t="shared" si="7"/>
        <v>205</v>
      </c>
      <c r="Q4" s="5">
        <f t="shared" si="3"/>
        <v>68.33333333</v>
      </c>
      <c r="R4" s="9">
        <f t="shared" si="4"/>
        <v>2050</v>
      </c>
      <c r="S4" s="5">
        <f t="shared" si="5"/>
        <v>-2106</v>
      </c>
    </row>
    <row r="5">
      <c r="A5" s="39">
        <v>46113.0</v>
      </c>
      <c r="B5" s="4" t="s">
        <v>63</v>
      </c>
      <c r="C5" s="21">
        <v>32.0</v>
      </c>
      <c r="E5" s="42" t="s">
        <v>61</v>
      </c>
      <c r="F5" s="5">
        <f t="shared" ref="F5:F12" si="8">SUMIF(B:B,"*"&amp;E5&amp;"*",C:C)</f>
        <v>28</v>
      </c>
      <c r="G5" s="28"/>
      <c r="K5" s="1" t="s">
        <v>62</v>
      </c>
      <c r="L5" s="5">
        <f t="shared" si="2"/>
        <v>13</v>
      </c>
      <c r="N5" s="39">
        <v>46116.0</v>
      </c>
      <c r="O5" s="40">
        <f t="shared" si="6"/>
        <v>144</v>
      </c>
      <c r="P5" s="5">
        <f t="shared" si="7"/>
        <v>349</v>
      </c>
      <c r="Q5" s="5">
        <f t="shared" si="3"/>
        <v>87.25</v>
      </c>
      <c r="R5" s="9">
        <f t="shared" si="4"/>
        <v>2617.5</v>
      </c>
      <c r="S5" s="5">
        <f t="shared" si="5"/>
        <v>-2529.5</v>
      </c>
    </row>
    <row r="6">
      <c r="A6" s="39">
        <v>46113.0</v>
      </c>
      <c r="B6" s="4" t="s">
        <v>67</v>
      </c>
      <c r="C6" s="21">
        <v>22.0</v>
      </c>
      <c r="E6" s="1" t="s">
        <v>64</v>
      </c>
      <c r="F6" s="5">
        <f t="shared" si="8"/>
        <v>107</v>
      </c>
      <c r="G6" s="28"/>
      <c r="H6" s="1" t="s">
        <v>65</v>
      </c>
      <c r="I6" s="21">
        <v>3482.0</v>
      </c>
      <c r="K6" s="1" t="s">
        <v>66</v>
      </c>
      <c r="L6" s="5">
        <f t="shared" si="2"/>
        <v>58</v>
      </c>
      <c r="N6" s="39">
        <v>46117.0</v>
      </c>
      <c r="O6" s="40">
        <f t="shared" si="6"/>
        <v>0</v>
      </c>
      <c r="P6" s="5">
        <f t="shared" si="7"/>
        <v>349</v>
      </c>
      <c r="Q6" s="5">
        <f t="shared" si="3"/>
        <v>69.8</v>
      </c>
      <c r="R6" s="9">
        <f t="shared" si="4"/>
        <v>2094</v>
      </c>
      <c r="S6" s="5">
        <f t="shared" si="5"/>
        <v>-2006</v>
      </c>
    </row>
    <row r="7">
      <c r="A7" s="39">
        <v>46113.0</v>
      </c>
      <c r="B7" s="4" t="s">
        <v>70</v>
      </c>
      <c r="C7" s="21">
        <v>9.0</v>
      </c>
      <c r="E7" s="1" t="s">
        <v>54</v>
      </c>
      <c r="F7" s="5">
        <f t="shared" si="8"/>
        <v>1034</v>
      </c>
      <c r="G7" s="28"/>
      <c r="H7" s="1" t="s">
        <v>68</v>
      </c>
      <c r="I7" s="5">
        <f>sum(C:C)</f>
        <v>3743</v>
      </c>
      <c r="K7" s="1" t="s">
        <v>69</v>
      </c>
      <c r="L7" s="5">
        <f t="shared" si="2"/>
        <v>0</v>
      </c>
      <c r="N7" s="39">
        <v>46118.0</v>
      </c>
      <c r="O7" s="40">
        <f t="shared" si="6"/>
        <v>59</v>
      </c>
      <c r="P7" s="5">
        <f t="shared" si="7"/>
        <v>408</v>
      </c>
      <c r="Q7" s="5">
        <f t="shared" si="3"/>
        <v>68</v>
      </c>
      <c r="R7" s="9">
        <f t="shared" si="4"/>
        <v>2040</v>
      </c>
      <c r="S7" s="5">
        <f t="shared" si="5"/>
        <v>-1893</v>
      </c>
    </row>
    <row r="8">
      <c r="A8" s="39">
        <v>46113.0</v>
      </c>
      <c r="B8" s="4" t="s">
        <v>105</v>
      </c>
      <c r="C8" s="21">
        <v>17.0</v>
      </c>
      <c r="E8" s="1" t="s">
        <v>71</v>
      </c>
      <c r="F8" s="5">
        <f t="shared" si="8"/>
        <v>136</v>
      </c>
      <c r="G8" s="28"/>
      <c r="H8" s="1" t="s">
        <v>72</v>
      </c>
      <c r="I8" s="5">
        <f>sum(F:F)+I2+C2</f>
        <v>3574</v>
      </c>
      <c r="N8" s="39">
        <v>46119.0</v>
      </c>
      <c r="O8" s="40">
        <f t="shared" si="6"/>
        <v>0</v>
      </c>
      <c r="P8" s="5">
        <f t="shared" si="7"/>
        <v>408</v>
      </c>
      <c r="Q8" s="5">
        <f t="shared" si="3"/>
        <v>58.28571429</v>
      </c>
      <c r="R8" s="9">
        <f t="shared" si="4"/>
        <v>1748.571429</v>
      </c>
      <c r="S8" s="5">
        <f t="shared" si="5"/>
        <v>-1601.571429</v>
      </c>
    </row>
    <row r="9">
      <c r="A9" s="39">
        <v>46113.0</v>
      </c>
      <c r="B9" s="4" t="s">
        <v>81</v>
      </c>
      <c r="C9" s="4">
        <v>38.0</v>
      </c>
      <c r="E9" s="1" t="s">
        <v>73</v>
      </c>
      <c r="F9" s="5">
        <f t="shared" si="8"/>
        <v>48</v>
      </c>
      <c r="G9" s="28"/>
      <c r="H9" s="1" t="s">
        <v>74</v>
      </c>
      <c r="I9" s="5">
        <f>I7-I8</f>
        <v>169</v>
      </c>
      <c r="N9" s="39">
        <v>46120.0</v>
      </c>
      <c r="O9" s="40">
        <f t="shared" si="6"/>
        <v>60</v>
      </c>
      <c r="P9" s="5">
        <f t="shared" si="7"/>
        <v>468</v>
      </c>
      <c r="Q9" s="5">
        <f t="shared" si="3"/>
        <v>58.5</v>
      </c>
      <c r="R9" s="9">
        <f t="shared" si="4"/>
        <v>1755</v>
      </c>
      <c r="S9" s="5">
        <f t="shared" si="5"/>
        <v>-1548</v>
      </c>
    </row>
    <row r="10">
      <c r="A10" s="39">
        <v>46113.0</v>
      </c>
      <c r="B10" s="4" t="s">
        <v>59</v>
      </c>
      <c r="C10" s="21">
        <f>69-31</f>
        <v>38</v>
      </c>
      <c r="E10" s="1" t="s">
        <v>75</v>
      </c>
      <c r="F10" s="5">
        <f t="shared" si="8"/>
        <v>22</v>
      </c>
      <c r="G10" s="28"/>
      <c r="N10" s="39">
        <v>46121.0</v>
      </c>
      <c r="O10" s="40">
        <f t="shared" si="6"/>
        <v>15</v>
      </c>
      <c r="P10" s="5">
        <f t="shared" si="7"/>
        <v>483</v>
      </c>
      <c r="Q10" s="5">
        <f t="shared" si="3"/>
        <v>53.66666667</v>
      </c>
      <c r="R10" s="9">
        <f t="shared" si="4"/>
        <v>1610</v>
      </c>
      <c r="S10" s="5">
        <f t="shared" si="5"/>
        <v>-1388</v>
      </c>
    </row>
    <row r="11">
      <c r="A11" s="39">
        <v>46114.0</v>
      </c>
      <c r="B11" s="4" t="s">
        <v>59</v>
      </c>
      <c r="C11" s="21">
        <v>7.0</v>
      </c>
      <c r="E11" s="1" t="s">
        <v>76</v>
      </c>
      <c r="F11" s="5">
        <f t="shared" si="8"/>
        <v>6</v>
      </c>
      <c r="G11" s="28"/>
      <c r="H11" s="1" t="s">
        <v>3</v>
      </c>
      <c r="I11" s="28">
        <f>I4/I6</f>
        <v>0.3558299828</v>
      </c>
      <c r="N11" s="39">
        <v>46122.0</v>
      </c>
      <c r="O11" s="40">
        <f t="shared" si="6"/>
        <v>79</v>
      </c>
      <c r="P11" s="5">
        <f t="shared" si="7"/>
        <v>562</v>
      </c>
      <c r="Q11" s="5">
        <f t="shared" si="3"/>
        <v>56.2</v>
      </c>
      <c r="R11" s="9">
        <f t="shared" si="4"/>
        <v>1686</v>
      </c>
      <c r="S11" s="5">
        <f t="shared" si="5"/>
        <v>-1385</v>
      </c>
    </row>
    <row r="12">
      <c r="A12" s="39">
        <v>46114.0</v>
      </c>
      <c r="B12" s="4" t="s">
        <v>88</v>
      </c>
      <c r="C12" s="21">
        <v>8.0</v>
      </c>
      <c r="E12" s="1" t="s">
        <v>77</v>
      </c>
      <c r="F12" s="5">
        <f t="shared" si="8"/>
        <v>0</v>
      </c>
      <c r="G12" s="28"/>
      <c r="N12" s="39">
        <v>46123.0</v>
      </c>
      <c r="O12" s="40">
        <f t="shared" si="6"/>
        <v>39</v>
      </c>
      <c r="P12" s="5">
        <f t="shared" si="7"/>
        <v>601</v>
      </c>
      <c r="Q12" s="5">
        <f t="shared" si="3"/>
        <v>54.63636364</v>
      </c>
      <c r="R12" s="9">
        <f t="shared" si="4"/>
        <v>1639.090909</v>
      </c>
      <c r="S12" s="5">
        <f t="shared" si="5"/>
        <v>-1299.090909</v>
      </c>
    </row>
    <row r="13">
      <c r="A13" s="39">
        <v>46114.0</v>
      </c>
      <c r="B13" s="4" t="s">
        <v>52</v>
      </c>
      <c r="C13" s="21">
        <v>8.0</v>
      </c>
      <c r="E13" s="1"/>
      <c r="F13" s="5"/>
      <c r="N13" s="39">
        <v>46124.0</v>
      </c>
      <c r="O13" s="40">
        <f t="shared" si="6"/>
        <v>53</v>
      </c>
      <c r="P13" s="5">
        <f t="shared" si="7"/>
        <v>654</v>
      </c>
      <c r="Q13" s="5">
        <f t="shared" si="3"/>
        <v>54.5</v>
      </c>
      <c r="R13" s="9">
        <f t="shared" si="4"/>
        <v>1635</v>
      </c>
      <c r="S13" s="5">
        <f t="shared" si="5"/>
        <v>-1242</v>
      </c>
    </row>
    <row r="14">
      <c r="A14" s="39">
        <v>46114.0</v>
      </c>
      <c r="B14" s="4" t="s">
        <v>90</v>
      </c>
      <c r="C14" s="21">
        <v>8.0</v>
      </c>
      <c r="E14" s="1"/>
      <c r="F14" s="5"/>
      <c r="H14" s="19"/>
      <c r="N14" s="39">
        <v>46125.0</v>
      </c>
      <c r="O14" s="40">
        <f t="shared" si="6"/>
        <v>4</v>
      </c>
      <c r="P14" s="5">
        <f t="shared" si="7"/>
        <v>658</v>
      </c>
      <c r="Q14" s="5">
        <f t="shared" si="3"/>
        <v>50.61538462</v>
      </c>
      <c r="R14" s="9">
        <f t="shared" si="4"/>
        <v>1518.461538</v>
      </c>
      <c r="S14" s="5">
        <f t="shared" si="5"/>
        <v>-1121.461538</v>
      </c>
    </row>
    <row r="15">
      <c r="A15" s="39">
        <v>46115.0</v>
      </c>
      <c r="B15" s="4" t="s">
        <v>73</v>
      </c>
      <c r="C15" s="21">
        <v>11.0</v>
      </c>
      <c r="E15" s="1"/>
      <c r="H15" s="1"/>
      <c r="N15" s="39">
        <v>46126.0</v>
      </c>
      <c r="O15" s="40">
        <f t="shared" si="6"/>
        <v>10</v>
      </c>
      <c r="P15" s="5">
        <f t="shared" si="7"/>
        <v>668</v>
      </c>
      <c r="Q15" s="5">
        <f t="shared" si="3"/>
        <v>47.71428571</v>
      </c>
      <c r="R15" s="9">
        <f t="shared" si="4"/>
        <v>1431.428571</v>
      </c>
      <c r="S15" s="5">
        <f t="shared" si="5"/>
        <v>-1024.428571</v>
      </c>
    </row>
    <row r="16">
      <c r="A16" s="39">
        <v>46115.0</v>
      </c>
      <c r="B16" s="4" t="s">
        <v>88</v>
      </c>
      <c r="C16" s="21">
        <v>3.0</v>
      </c>
      <c r="H16" s="19"/>
      <c r="N16" s="39">
        <v>46127.0</v>
      </c>
      <c r="O16" s="40">
        <f t="shared" si="6"/>
        <v>24</v>
      </c>
      <c r="P16" s="5">
        <f t="shared" si="7"/>
        <v>692</v>
      </c>
      <c r="Q16" s="5">
        <f t="shared" si="3"/>
        <v>46.13333333</v>
      </c>
      <c r="R16" s="9">
        <f t="shared" si="4"/>
        <v>1384</v>
      </c>
      <c r="S16" s="5">
        <f t="shared" si="5"/>
        <v>-953</v>
      </c>
    </row>
    <row r="17">
      <c r="A17" s="39">
        <v>46115.0</v>
      </c>
      <c r="B17" s="4" t="s">
        <v>66</v>
      </c>
      <c r="C17" s="21">
        <v>4.0</v>
      </c>
      <c r="H17" s="19"/>
      <c r="N17" s="39">
        <v>46128.0</v>
      </c>
      <c r="O17" s="40">
        <f t="shared" si="6"/>
        <v>34</v>
      </c>
      <c r="P17" s="5">
        <f t="shared" si="7"/>
        <v>726</v>
      </c>
      <c r="Q17" s="5">
        <f t="shared" si="3"/>
        <v>45.375</v>
      </c>
      <c r="R17" s="9">
        <f t="shared" si="4"/>
        <v>1361.25</v>
      </c>
      <c r="S17" s="5">
        <f t="shared" si="5"/>
        <v>-896.25</v>
      </c>
    </row>
    <row r="18">
      <c r="A18" s="39">
        <v>46116.0</v>
      </c>
      <c r="B18" s="4" t="s">
        <v>100</v>
      </c>
      <c r="C18" s="21">
        <v>4.0</v>
      </c>
      <c r="H18" s="19"/>
      <c r="N18" s="39">
        <v>46129.0</v>
      </c>
      <c r="O18" s="40">
        <f t="shared" si="6"/>
        <v>81</v>
      </c>
      <c r="P18" s="5">
        <f t="shared" si="7"/>
        <v>807</v>
      </c>
      <c r="Q18" s="5">
        <f t="shared" si="3"/>
        <v>47.47058824</v>
      </c>
      <c r="R18" s="9">
        <f t="shared" si="4"/>
        <v>1424.117647</v>
      </c>
      <c r="S18" s="5">
        <f t="shared" si="5"/>
        <v>-878.1176471</v>
      </c>
    </row>
    <row r="19">
      <c r="A19" s="39">
        <v>46116.0</v>
      </c>
      <c r="B19" s="4" t="s">
        <v>45</v>
      </c>
      <c r="C19" s="21">
        <v>29.0</v>
      </c>
      <c r="H19" s="19"/>
      <c r="N19" s="39">
        <v>46130.0</v>
      </c>
      <c r="O19" s="40">
        <f t="shared" si="6"/>
        <v>14</v>
      </c>
      <c r="P19" s="5">
        <f t="shared" si="7"/>
        <v>821</v>
      </c>
      <c r="Q19" s="5">
        <f t="shared" si="3"/>
        <v>45.61111111</v>
      </c>
      <c r="R19" s="9">
        <f t="shared" si="4"/>
        <v>1368.333333</v>
      </c>
      <c r="S19" s="5">
        <f t="shared" si="5"/>
        <v>-808.3333333</v>
      </c>
    </row>
    <row r="20">
      <c r="A20" s="39">
        <v>46116.0</v>
      </c>
      <c r="B20" s="4" t="s">
        <v>88</v>
      </c>
      <c r="C20" s="21">
        <v>7.0</v>
      </c>
      <c r="H20" s="19"/>
      <c r="N20" s="39">
        <v>46131.0</v>
      </c>
      <c r="O20" s="40">
        <f t="shared" si="6"/>
        <v>0</v>
      </c>
      <c r="P20" s="5">
        <f t="shared" si="7"/>
        <v>821</v>
      </c>
      <c r="Q20" s="5">
        <f t="shared" si="3"/>
        <v>43.21052632</v>
      </c>
      <c r="R20" s="9">
        <f t="shared" si="4"/>
        <v>1296.315789</v>
      </c>
      <c r="S20" s="5">
        <f t="shared" si="5"/>
        <v>-736.3157895</v>
      </c>
    </row>
    <row r="21">
      <c r="A21" s="39">
        <v>46116.0</v>
      </c>
      <c r="B21" s="4" t="s">
        <v>93</v>
      </c>
      <c r="C21" s="21">
        <v>65.0</v>
      </c>
      <c r="E21" s="19"/>
      <c r="F21" s="5"/>
      <c r="H21" s="19"/>
      <c r="N21" s="39">
        <v>46132.0</v>
      </c>
      <c r="O21" s="40">
        <f t="shared" si="6"/>
        <v>52</v>
      </c>
      <c r="P21" s="5">
        <f t="shared" si="7"/>
        <v>873</v>
      </c>
      <c r="Q21" s="5">
        <f t="shared" si="3"/>
        <v>43.65</v>
      </c>
      <c r="R21" s="9">
        <f t="shared" si="4"/>
        <v>1309.5</v>
      </c>
      <c r="S21" s="5">
        <f t="shared" si="5"/>
        <v>-697.5</v>
      </c>
    </row>
    <row r="22">
      <c r="A22" s="39">
        <v>46116.0</v>
      </c>
      <c r="B22" s="4" t="s">
        <v>66</v>
      </c>
      <c r="C22" s="21">
        <v>2.0</v>
      </c>
      <c r="E22" s="19"/>
      <c r="F22" s="5"/>
      <c r="H22" s="19"/>
      <c r="N22" s="39">
        <v>46133.0</v>
      </c>
      <c r="O22" s="40">
        <f t="shared" si="6"/>
        <v>10</v>
      </c>
      <c r="P22" s="5">
        <f t="shared" si="7"/>
        <v>883</v>
      </c>
      <c r="Q22" s="5">
        <f t="shared" si="3"/>
        <v>42.04761905</v>
      </c>
      <c r="R22" s="9">
        <f t="shared" si="4"/>
        <v>1261.428571</v>
      </c>
      <c r="S22" s="5">
        <f t="shared" si="5"/>
        <v>-639.4285714</v>
      </c>
    </row>
    <row r="23">
      <c r="A23" s="39">
        <v>46116.0</v>
      </c>
      <c r="B23" s="4" t="s">
        <v>53</v>
      </c>
      <c r="C23" s="21">
        <v>37.0</v>
      </c>
      <c r="E23" s="19"/>
      <c r="F23" s="5"/>
      <c r="H23" s="19"/>
      <c r="N23" s="39">
        <v>46134.0</v>
      </c>
      <c r="O23" s="40">
        <f t="shared" si="6"/>
        <v>117</v>
      </c>
      <c r="P23" s="5">
        <f t="shared" si="7"/>
        <v>1000</v>
      </c>
      <c r="Q23" s="5">
        <f t="shared" si="3"/>
        <v>45.45454545</v>
      </c>
      <c r="R23" s="9">
        <f t="shared" si="4"/>
        <v>1363.636364</v>
      </c>
      <c r="S23" s="5">
        <f t="shared" si="5"/>
        <v>-624.6363636</v>
      </c>
    </row>
    <row r="24">
      <c r="A24" s="39">
        <v>46118.0</v>
      </c>
      <c r="B24" s="4" t="s">
        <v>45</v>
      </c>
      <c r="C24" s="21">
        <v>6.0</v>
      </c>
      <c r="F24" s="5"/>
      <c r="H24" s="19"/>
      <c r="N24" s="39">
        <v>46135.0</v>
      </c>
      <c r="O24" s="40">
        <f t="shared" si="6"/>
        <v>49</v>
      </c>
      <c r="P24" s="5">
        <f t="shared" si="7"/>
        <v>1049</v>
      </c>
      <c r="Q24" s="5">
        <f t="shared" si="3"/>
        <v>45.60869565</v>
      </c>
      <c r="R24" s="9">
        <f t="shared" si="4"/>
        <v>1368.26087</v>
      </c>
      <c r="S24" s="5">
        <f t="shared" si="5"/>
        <v>-580.2608696</v>
      </c>
    </row>
    <row r="25">
      <c r="A25" s="39">
        <v>46118.0</v>
      </c>
      <c r="B25" s="4" t="s">
        <v>93</v>
      </c>
      <c r="C25" s="21">
        <v>34.0</v>
      </c>
      <c r="F25" s="5"/>
      <c r="H25" s="19"/>
      <c r="N25" s="39">
        <v>46136.0</v>
      </c>
      <c r="O25" s="40">
        <f t="shared" si="6"/>
        <v>34</v>
      </c>
      <c r="P25" s="5">
        <f t="shared" si="7"/>
        <v>1083</v>
      </c>
      <c r="Q25" s="5">
        <f t="shared" si="3"/>
        <v>45.125</v>
      </c>
      <c r="R25" s="9">
        <f t="shared" si="4"/>
        <v>1353.75</v>
      </c>
      <c r="S25" s="5">
        <f t="shared" si="5"/>
        <v>-531.75</v>
      </c>
    </row>
    <row r="26">
      <c r="A26" s="39">
        <v>46118.0</v>
      </c>
      <c r="B26" s="4" t="s">
        <v>64</v>
      </c>
      <c r="C26" s="21">
        <v>19.0</v>
      </c>
      <c r="F26" s="5"/>
      <c r="H26" s="19"/>
      <c r="N26" s="39">
        <v>46137.0</v>
      </c>
      <c r="O26" s="40">
        <f t="shared" si="6"/>
        <v>25</v>
      </c>
      <c r="P26" s="5">
        <f t="shared" si="7"/>
        <v>1108</v>
      </c>
      <c r="Q26" s="5">
        <f t="shared" si="3"/>
        <v>44.32</v>
      </c>
      <c r="R26" s="9">
        <f t="shared" si="4"/>
        <v>1329.6</v>
      </c>
      <c r="S26" s="5">
        <f t="shared" si="5"/>
        <v>-482.6</v>
      </c>
    </row>
    <row r="27">
      <c r="A27" s="39">
        <v>46120.0</v>
      </c>
      <c r="B27" s="4" t="s">
        <v>66</v>
      </c>
      <c r="C27" s="21">
        <f>8+6</f>
        <v>14</v>
      </c>
      <c r="F27" s="5"/>
      <c r="H27" s="19"/>
      <c r="N27" s="39">
        <v>46138.0</v>
      </c>
      <c r="O27" s="40">
        <f t="shared" si="6"/>
        <v>2</v>
      </c>
      <c r="P27" s="5">
        <f t="shared" si="7"/>
        <v>1110</v>
      </c>
      <c r="Q27" s="5">
        <f t="shared" si="3"/>
        <v>42.69230769</v>
      </c>
      <c r="R27" s="9">
        <f t="shared" si="4"/>
        <v>1280.769231</v>
      </c>
      <c r="S27" s="5">
        <f t="shared" si="5"/>
        <v>-431.7692308</v>
      </c>
    </row>
    <row r="28">
      <c r="A28" s="39">
        <v>46120.0</v>
      </c>
      <c r="B28" s="4" t="s">
        <v>88</v>
      </c>
      <c r="C28" s="21">
        <v>9.0</v>
      </c>
      <c r="F28" s="5"/>
      <c r="H28" s="19"/>
      <c r="N28" s="39">
        <v>46139.0</v>
      </c>
      <c r="O28" s="40">
        <f t="shared" si="6"/>
        <v>18</v>
      </c>
      <c r="P28" s="5">
        <f t="shared" si="7"/>
        <v>1128</v>
      </c>
      <c r="Q28" s="5">
        <f t="shared" si="3"/>
        <v>41.77777778</v>
      </c>
      <c r="R28" s="9">
        <f t="shared" si="4"/>
        <v>1253.333333</v>
      </c>
      <c r="S28" s="5">
        <f t="shared" si="5"/>
        <v>-386.3333333</v>
      </c>
    </row>
    <row r="29">
      <c r="A29" s="39">
        <v>46120.0</v>
      </c>
      <c r="B29" s="4" t="s">
        <v>45</v>
      </c>
      <c r="C29" s="21">
        <v>25.0</v>
      </c>
      <c r="F29" s="5"/>
      <c r="H29" s="19"/>
      <c r="N29" s="39">
        <v>46140.0</v>
      </c>
      <c r="O29" s="40">
        <f t="shared" si="6"/>
        <v>48</v>
      </c>
      <c r="P29" s="5">
        <f t="shared" si="7"/>
        <v>1176</v>
      </c>
      <c r="Q29" s="5">
        <f t="shared" si="3"/>
        <v>42</v>
      </c>
      <c r="R29" s="9">
        <f t="shared" si="4"/>
        <v>1260</v>
      </c>
      <c r="S29" s="5">
        <f t="shared" si="5"/>
        <v>-345</v>
      </c>
    </row>
    <row r="30">
      <c r="A30" s="39">
        <v>46120.0</v>
      </c>
      <c r="B30" s="4" t="s">
        <v>84</v>
      </c>
      <c r="C30" s="21">
        <v>12.0</v>
      </c>
      <c r="F30" s="5"/>
      <c r="H30" s="19"/>
      <c r="N30" s="39">
        <v>46141.0</v>
      </c>
      <c r="O30" s="40">
        <f t="shared" si="6"/>
        <v>46</v>
      </c>
      <c r="P30" s="5">
        <f t="shared" si="7"/>
        <v>1222</v>
      </c>
      <c r="Q30" s="5">
        <f t="shared" si="3"/>
        <v>42.13793103</v>
      </c>
      <c r="R30" s="9">
        <f t="shared" si="4"/>
        <v>1264.137931</v>
      </c>
      <c r="S30" s="5">
        <f t="shared" si="5"/>
        <v>-303.137931</v>
      </c>
    </row>
    <row r="31">
      <c r="A31" s="39">
        <v>46121.0</v>
      </c>
      <c r="B31" s="4" t="s">
        <v>66</v>
      </c>
      <c r="C31" s="21">
        <v>5.0</v>
      </c>
      <c r="E31" s="19"/>
      <c r="F31" s="5"/>
      <c r="H31" s="19"/>
      <c r="N31" s="39">
        <v>46142.0</v>
      </c>
      <c r="O31" s="40">
        <f t="shared" si="6"/>
        <v>19</v>
      </c>
      <c r="P31" s="5">
        <f t="shared" si="7"/>
        <v>1241</v>
      </c>
      <c r="Q31" s="5">
        <f t="shared" si="3"/>
        <v>41.36666667</v>
      </c>
      <c r="R31" s="9">
        <f t="shared" si="4"/>
        <v>1241</v>
      </c>
      <c r="S31" s="5">
        <f t="shared" si="5"/>
        <v>-261</v>
      </c>
    </row>
    <row r="32">
      <c r="A32" s="39">
        <v>46121.0</v>
      </c>
      <c r="B32" s="4" t="s">
        <v>90</v>
      </c>
      <c r="C32" s="21">
        <v>6.0</v>
      </c>
      <c r="E32" s="19"/>
      <c r="F32" s="5"/>
      <c r="H32" s="19"/>
      <c r="N32" s="39"/>
      <c r="Q32" s="5"/>
      <c r="R32" s="9"/>
    </row>
    <row r="33">
      <c r="A33" s="39">
        <v>46121.0</v>
      </c>
      <c r="B33" s="4" t="s">
        <v>100</v>
      </c>
      <c r="C33" s="21">
        <v>4.0</v>
      </c>
      <c r="E33" s="19"/>
      <c r="F33" s="5"/>
      <c r="H33" s="19"/>
      <c r="N33" s="39"/>
      <c r="Q33" s="5"/>
      <c r="R33" s="9"/>
    </row>
    <row r="34">
      <c r="A34" s="39">
        <v>46122.0</v>
      </c>
      <c r="B34" s="4" t="s">
        <v>47</v>
      </c>
      <c r="C34" s="21">
        <v>79.0</v>
      </c>
      <c r="E34" s="19"/>
      <c r="F34" s="5"/>
      <c r="H34" s="19"/>
      <c r="Q34" s="5"/>
      <c r="R34" s="9"/>
    </row>
    <row r="35">
      <c r="A35" s="39">
        <v>46123.0</v>
      </c>
      <c r="B35" s="4" t="s">
        <v>47</v>
      </c>
      <c r="C35" s="21">
        <v>39.0</v>
      </c>
      <c r="E35" s="19"/>
      <c r="F35" s="5"/>
      <c r="H35" s="19"/>
      <c r="Q35" s="5"/>
      <c r="R35" s="9"/>
    </row>
    <row r="36">
      <c r="A36" s="39">
        <v>46124.0</v>
      </c>
      <c r="B36" s="4" t="s">
        <v>95</v>
      </c>
      <c r="C36" s="21">
        <v>23.0</v>
      </c>
      <c r="E36" s="19"/>
      <c r="F36" s="5"/>
      <c r="H36" s="19"/>
      <c r="Q36" s="5"/>
      <c r="R36" s="9"/>
    </row>
    <row r="37">
      <c r="A37" s="39">
        <v>46124.0</v>
      </c>
      <c r="B37" s="4" t="s">
        <v>57</v>
      </c>
      <c r="C37" s="21">
        <v>5.0</v>
      </c>
      <c r="E37" s="19"/>
      <c r="F37" s="5"/>
      <c r="H37" s="19"/>
      <c r="Q37" s="5"/>
      <c r="R37" s="9"/>
    </row>
    <row r="38">
      <c r="A38" s="39">
        <v>46124.0</v>
      </c>
      <c r="B38" s="4" t="s">
        <v>52</v>
      </c>
      <c r="C38" s="21">
        <v>25.0</v>
      </c>
      <c r="E38" s="19"/>
      <c r="F38" s="5"/>
      <c r="H38" s="19"/>
      <c r="Q38" s="5"/>
      <c r="R38" s="9"/>
    </row>
    <row r="39">
      <c r="A39" s="39">
        <v>46125.0</v>
      </c>
      <c r="B39" s="4" t="s">
        <v>56</v>
      </c>
      <c r="C39" s="21">
        <v>4.0</v>
      </c>
      <c r="E39" s="19"/>
      <c r="F39" s="5"/>
      <c r="H39" s="19"/>
      <c r="Q39" s="5"/>
      <c r="R39" s="9"/>
    </row>
    <row r="40">
      <c r="A40" s="39">
        <v>46126.0</v>
      </c>
      <c r="B40" s="4" t="s">
        <v>89</v>
      </c>
      <c r="C40" s="21">
        <v>10.0</v>
      </c>
      <c r="E40" s="19"/>
      <c r="F40" s="5"/>
      <c r="H40" s="19"/>
      <c r="Q40" s="5"/>
      <c r="R40" s="9"/>
    </row>
    <row r="41">
      <c r="A41" s="39">
        <v>46127.0</v>
      </c>
      <c r="B41" s="4" t="s">
        <v>45</v>
      </c>
      <c r="C41" s="21">
        <v>6.0</v>
      </c>
      <c r="E41" s="19"/>
      <c r="F41" s="5"/>
      <c r="H41" s="19"/>
      <c r="Q41" s="5"/>
      <c r="R41" s="9"/>
    </row>
    <row r="42">
      <c r="A42" s="39">
        <v>46127.0</v>
      </c>
      <c r="B42" s="4" t="s">
        <v>90</v>
      </c>
      <c r="C42" s="21">
        <v>10.0</v>
      </c>
      <c r="E42" s="19"/>
      <c r="F42" s="5"/>
      <c r="H42" s="19"/>
      <c r="Q42" s="5"/>
      <c r="R42" s="9"/>
    </row>
    <row r="43">
      <c r="A43" s="39">
        <v>46127.0</v>
      </c>
      <c r="B43" s="4" t="s">
        <v>106</v>
      </c>
      <c r="C43" s="21">
        <v>8.0</v>
      </c>
      <c r="E43" s="19"/>
      <c r="F43" s="5"/>
      <c r="H43" s="19"/>
      <c r="Q43" s="5"/>
      <c r="R43" s="9"/>
    </row>
    <row r="44">
      <c r="A44" s="39">
        <v>46128.0</v>
      </c>
      <c r="B44" s="4" t="s">
        <v>95</v>
      </c>
      <c r="C44" s="21">
        <v>4.0</v>
      </c>
      <c r="E44" s="19"/>
      <c r="F44" s="5"/>
      <c r="H44" s="19"/>
      <c r="Q44" s="5"/>
      <c r="R44" s="9"/>
    </row>
    <row r="45">
      <c r="A45" s="39">
        <v>46128.0</v>
      </c>
      <c r="B45" s="4" t="s">
        <v>106</v>
      </c>
      <c r="C45" s="21">
        <v>16.0</v>
      </c>
      <c r="E45" s="19"/>
      <c r="F45" s="5"/>
      <c r="H45" s="19"/>
      <c r="Q45" s="5"/>
      <c r="R45" s="9"/>
    </row>
    <row r="46">
      <c r="A46" s="39">
        <v>46128.0</v>
      </c>
      <c r="B46" s="4" t="s">
        <v>90</v>
      </c>
      <c r="C46" s="21">
        <v>14.0</v>
      </c>
      <c r="E46" s="19"/>
      <c r="F46" s="5"/>
      <c r="H46" s="19"/>
      <c r="Q46" s="5"/>
      <c r="R46" s="9"/>
    </row>
    <row r="47">
      <c r="A47" s="39">
        <v>46129.0</v>
      </c>
      <c r="B47" s="4" t="s">
        <v>100</v>
      </c>
      <c r="C47" s="21">
        <v>5.0</v>
      </c>
      <c r="E47" s="19"/>
      <c r="F47" s="5"/>
      <c r="H47" s="19"/>
      <c r="Q47" s="5"/>
      <c r="R47" s="9"/>
    </row>
    <row r="48">
      <c r="A48" s="39">
        <v>46129.0</v>
      </c>
      <c r="B48" s="4" t="s">
        <v>66</v>
      </c>
      <c r="C48" s="21">
        <v>2.0</v>
      </c>
      <c r="E48" s="19"/>
      <c r="F48" s="5"/>
      <c r="H48" s="19"/>
      <c r="Q48" s="5"/>
      <c r="R48" s="9"/>
    </row>
    <row r="49">
      <c r="A49" s="39">
        <v>46129.0</v>
      </c>
      <c r="B49" s="4" t="s">
        <v>45</v>
      </c>
      <c r="C49" s="21">
        <v>15.0</v>
      </c>
      <c r="E49" s="19"/>
      <c r="F49" s="5"/>
      <c r="H49" s="19"/>
      <c r="Q49" s="5"/>
      <c r="R49" s="9"/>
    </row>
    <row r="50">
      <c r="A50" s="39">
        <v>46129.0</v>
      </c>
      <c r="B50" s="4" t="s">
        <v>93</v>
      </c>
      <c r="C50" s="21">
        <v>9.0</v>
      </c>
      <c r="E50" s="19"/>
      <c r="F50" s="5"/>
      <c r="H50" s="19"/>
      <c r="Q50" s="5"/>
      <c r="R50" s="9"/>
    </row>
    <row r="51">
      <c r="A51" s="39">
        <v>46129.0</v>
      </c>
      <c r="B51" s="4" t="s">
        <v>73</v>
      </c>
      <c r="C51" s="21">
        <v>37.0</v>
      </c>
      <c r="E51" s="19"/>
      <c r="F51" s="5"/>
      <c r="H51" s="19"/>
      <c r="Q51" s="5"/>
      <c r="R51" s="9"/>
    </row>
    <row r="52">
      <c r="A52" s="39">
        <v>46129.0</v>
      </c>
      <c r="B52" s="4" t="s">
        <v>106</v>
      </c>
      <c r="C52" s="43">
        <v>13.0</v>
      </c>
      <c r="E52" s="19"/>
      <c r="F52" s="5"/>
      <c r="H52" s="19"/>
      <c r="Q52" s="5"/>
      <c r="R52" s="9"/>
    </row>
    <row r="53">
      <c r="A53" s="39">
        <v>46130.0</v>
      </c>
      <c r="B53" s="4" t="s">
        <v>66</v>
      </c>
      <c r="C53" s="21">
        <v>6.0</v>
      </c>
      <c r="E53" s="19"/>
      <c r="F53" s="5"/>
      <c r="H53" s="19"/>
      <c r="Q53" s="5"/>
      <c r="R53" s="9"/>
    </row>
    <row r="54">
      <c r="A54" s="39">
        <v>46130.0</v>
      </c>
      <c r="B54" s="4" t="s">
        <v>106</v>
      </c>
      <c r="C54" s="21">
        <v>8.0</v>
      </c>
      <c r="E54" s="19"/>
      <c r="F54" s="5"/>
      <c r="H54" s="19"/>
      <c r="Q54" s="5"/>
      <c r="R54" s="9"/>
    </row>
    <row r="55">
      <c r="A55" s="39">
        <v>46132.0</v>
      </c>
      <c r="B55" s="4" t="s">
        <v>107</v>
      </c>
      <c r="C55" s="21">
        <v>35.0</v>
      </c>
      <c r="E55" s="19"/>
      <c r="F55" s="5"/>
      <c r="H55" s="19"/>
      <c r="Q55" s="5"/>
      <c r="R55" s="9"/>
    </row>
    <row r="56">
      <c r="A56" s="39">
        <v>46132.0</v>
      </c>
      <c r="B56" s="4" t="s">
        <v>108</v>
      </c>
      <c r="C56" s="21">
        <v>8.0</v>
      </c>
      <c r="E56" s="19"/>
      <c r="F56" s="5"/>
      <c r="H56" s="19"/>
      <c r="Q56" s="5"/>
      <c r="R56" s="9"/>
    </row>
    <row r="57">
      <c r="A57" s="39">
        <v>46132.0</v>
      </c>
      <c r="B57" s="4" t="s">
        <v>106</v>
      </c>
      <c r="C57" s="21">
        <v>9.0</v>
      </c>
      <c r="E57" s="19"/>
      <c r="F57" s="5"/>
      <c r="H57" s="19"/>
      <c r="Q57" s="5"/>
      <c r="R57" s="9"/>
    </row>
    <row r="58">
      <c r="A58" s="39">
        <v>46133.0</v>
      </c>
      <c r="B58" s="4" t="s">
        <v>66</v>
      </c>
      <c r="C58" s="21">
        <v>6.0</v>
      </c>
      <c r="E58" s="19"/>
      <c r="F58" s="5"/>
      <c r="H58" s="19"/>
      <c r="Q58" s="5"/>
      <c r="R58" s="9"/>
    </row>
    <row r="59">
      <c r="A59" s="39">
        <v>46133.0</v>
      </c>
      <c r="B59" s="4" t="s">
        <v>100</v>
      </c>
      <c r="C59" s="21">
        <v>4.0</v>
      </c>
      <c r="E59" s="19"/>
      <c r="F59" s="5"/>
      <c r="H59" s="19"/>
      <c r="Q59" s="5"/>
      <c r="R59" s="9"/>
    </row>
    <row r="60">
      <c r="A60" s="39">
        <v>46134.0</v>
      </c>
      <c r="B60" s="4" t="s">
        <v>109</v>
      </c>
      <c r="C60" s="21">
        <v>88.0</v>
      </c>
      <c r="E60" s="19"/>
      <c r="F60" s="5"/>
      <c r="H60" s="19"/>
      <c r="Q60" s="5"/>
      <c r="R60" s="9"/>
    </row>
    <row r="61">
      <c r="A61" s="39">
        <v>46134.0</v>
      </c>
      <c r="B61" s="4" t="s">
        <v>110</v>
      </c>
      <c r="C61" s="21">
        <v>25.0</v>
      </c>
      <c r="E61" s="19"/>
      <c r="F61" s="5"/>
      <c r="H61" s="19"/>
      <c r="Q61" s="5"/>
      <c r="R61" s="9"/>
    </row>
    <row r="62">
      <c r="A62" s="39">
        <v>46134.0</v>
      </c>
      <c r="B62" s="4" t="s">
        <v>111</v>
      </c>
      <c r="C62" s="21">
        <v>4.0</v>
      </c>
      <c r="E62" s="19"/>
      <c r="F62" s="5"/>
      <c r="H62" s="19"/>
      <c r="Q62" s="5"/>
      <c r="R62" s="9"/>
    </row>
    <row r="63">
      <c r="A63" s="39">
        <v>46135.0</v>
      </c>
      <c r="B63" s="4" t="s">
        <v>112</v>
      </c>
      <c r="C63" s="21">
        <v>20.0</v>
      </c>
      <c r="E63" s="19"/>
      <c r="F63" s="5"/>
      <c r="H63" s="19"/>
      <c r="Q63" s="5"/>
      <c r="R63" s="9"/>
    </row>
    <row r="64">
      <c r="A64" s="39">
        <v>46135.0</v>
      </c>
      <c r="B64" s="4" t="s">
        <v>47</v>
      </c>
      <c r="C64" s="21">
        <v>29.0</v>
      </c>
      <c r="E64" s="19"/>
      <c r="F64" s="5"/>
      <c r="H64" s="19"/>
      <c r="Q64" s="5"/>
      <c r="R64" s="9"/>
    </row>
    <row r="65">
      <c r="A65" s="39">
        <v>46136.0</v>
      </c>
      <c r="B65" s="4" t="s">
        <v>113</v>
      </c>
      <c r="C65" s="21">
        <v>23.0</v>
      </c>
      <c r="E65" s="19"/>
      <c r="F65" s="5"/>
      <c r="H65" s="19"/>
      <c r="Q65" s="5"/>
      <c r="R65" s="9"/>
    </row>
    <row r="66">
      <c r="A66" s="39">
        <v>46136.0</v>
      </c>
      <c r="B66" s="4" t="s">
        <v>106</v>
      </c>
      <c r="C66" s="21">
        <v>3.0</v>
      </c>
      <c r="E66" s="19"/>
      <c r="F66" s="5"/>
      <c r="H66" s="19"/>
      <c r="Q66" s="5"/>
      <c r="R66" s="9"/>
    </row>
    <row r="67">
      <c r="A67" s="39">
        <v>46136.0</v>
      </c>
      <c r="B67" s="4" t="s">
        <v>66</v>
      </c>
      <c r="C67" s="21">
        <v>3.0</v>
      </c>
      <c r="E67" s="19"/>
      <c r="F67" s="5"/>
      <c r="H67" s="19"/>
      <c r="Q67" s="5"/>
      <c r="R67" s="9"/>
    </row>
    <row r="68">
      <c r="A68" s="39">
        <v>46136.0</v>
      </c>
      <c r="B68" s="4" t="s">
        <v>76</v>
      </c>
      <c r="C68" s="21">
        <v>5.0</v>
      </c>
      <c r="E68" s="19"/>
      <c r="F68" s="5"/>
      <c r="H68" s="19"/>
      <c r="Q68" s="5"/>
      <c r="R68" s="9"/>
    </row>
    <row r="69">
      <c r="A69" s="39">
        <v>46137.0</v>
      </c>
      <c r="B69" s="4" t="s">
        <v>45</v>
      </c>
      <c r="C69" s="21">
        <v>12.0</v>
      </c>
      <c r="E69" s="19"/>
      <c r="F69" s="5"/>
      <c r="H69" s="19"/>
      <c r="Q69" s="5"/>
      <c r="R69" s="9"/>
    </row>
    <row r="70">
      <c r="A70" s="39">
        <v>46137.0</v>
      </c>
      <c r="B70" s="4" t="s">
        <v>62</v>
      </c>
      <c r="C70" s="21">
        <v>13.0</v>
      </c>
      <c r="E70" s="19"/>
      <c r="F70" s="5"/>
      <c r="H70" s="19"/>
      <c r="Q70" s="5"/>
      <c r="R70" s="9"/>
    </row>
    <row r="71">
      <c r="A71" s="39">
        <v>46138.0</v>
      </c>
      <c r="B71" s="4" t="s">
        <v>114</v>
      </c>
      <c r="C71" s="21">
        <v>2.0</v>
      </c>
      <c r="E71" s="19"/>
      <c r="F71" s="5"/>
      <c r="H71" s="19"/>
      <c r="Q71" s="5"/>
      <c r="R71" s="9"/>
    </row>
    <row r="72">
      <c r="A72" s="39">
        <v>46139.0</v>
      </c>
      <c r="B72" s="4" t="s">
        <v>57</v>
      </c>
      <c r="C72" s="21">
        <v>3.0</v>
      </c>
      <c r="E72" s="19"/>
      <c r="F72" s="5"/>
      <c r="H72" s="19"/>
      <c r="Q72" s="5"/>
      <c r="R72" s="9"/>
    </row>
    <row r="73">
      <c r="A73" s="39">
        <v>46139.0</v>
      </c>
      <c r="B73" s="4" t="s">
        <v>47</v>
      </c>
      <c r="C73" s="21">
        <v>6.0</v>
      </c>
      <c r="E73" s="19"/>
      <c r="F73" s="5"/>
      <c r="H73" s="19"/>
      <c r="Q73" s="5"/>
      <c r="R73" s="9"/>
    </row>
    <row r="74">
      <c r="A74" s="39">
        <v>46139.0</v>
      </c>
      <c r="B74" s="4" t="s">
        <v>106</v>
      </c>
      <c r="C74" s="21">
        <v>9.0</v>
      </c>
      <c r="E74" s="19"/>
      <c r="F74" s="5"/>
      <c r="H74" s="19"/>
      <c r="Q74" s="5"/>
      <c r="R74" s="9"/>
    </row>
    <row r="75">
      <c r="A75" s="39">
        <v>46140.0</v>
      </c>
      <c r="B75" s="4" t="s">
        <v>93</v>
      </c>
      <c r="C75" s="21">
        <v>26.0</v>
      </c>
      <c r="E75" s="19"/>
      <c r="F75" s="5"/>
      <c r="H75" s="19"/>
      <c r="Q75" s="5"/>
      <c r="R75" s="9"/>
    </row>
    <row r="76">
      <c r="A76" s="39">
        <v>46140.0</v>
      </c>
      <c r="B76" s="4" t="s">
        <v>66</v>
      </c>
      <c r="C76" s="21">
        <v>16.0</v>
      </c>
      <c r="E76" s="19"/>
      <c r="F76" s="5"/>
      <c r="H76" s="19"/>
      <c r="Q76" s="5"/>
      <c r="R76" s="9"/>
    </row>
    <row r="77">
      <c r="A77" s="39">
        <v>46140.0</v>
      </c>
      <c r="B77" s="4" t="s">
        <v>106</v>
      </c>
      <c r="C77" s="21">
        <v>6.0</v>
      </c>
      <c r="E77" s="19"/>
      <c r="F77" s="5"/>
      <c r="H77" s="19"/>
      <c r="Q77" s="5"/>
      <c r="R77" s="9"/>
    </row>
    <row r="78">
      <c r="A78" s="39">
        <v>46141.0</v>
      </c>
      <c r="B78" s="4" t="s">
        <v>76</v>
      </c>
      <c r="C78" s="21">
        <v>1.0</v>
      </c>
      <c r="E78" s="19"/>
      <c r="F78" s="5"/>
      <c r="H78" s="19"/>
      <c r="Q78" s="5"/>
      <c r="R78" s="9"/>
    </row>
    <row r="79">
      <c r="A79" s="39">
        <v>46141.0</v>
      </c>
      <c r="B79" s="4" t="s">
        <v>90</v>
      </c>
      <c r="C79" s="21">
        <v>10.0</v>
      </c>
      <c r="E79" s="19"/>
      <c r="F79" s="5"/>
      <c r="H79" s="19"/>
      <c r="Q79" s="5"/>
      <c r="R79" s="9"/>
    </row>
    <row r="80">
      <c r="A80" s="39">
        <v>46141.0</v>
      </c>
      <c r="B80" s="4" t="s">
        <v>59</v>
      </c>
      <c r="C80" s="21">
        <v>28.0</v>
      </c>
      <c r="E80" s="19"/>
      <c r="F80" s="5"/>
      <c r="H80" s="19"/>
      <c r="Q80" s="5"/>
      <c r="R80" s="9"/>
    </row>
    <row r="81">
      <c r="A81" s="39">
        <v>46141.0</v>
      </c>
      <c r="B81" s="4" t="s">
        <v>106</v>
      </c>
      <c r="C81" s="21">
        <v>7.0</v>
      </c>
      <c r="E81" s="19"/>
      <c r="F81" s="5"/>
      <c r="H81" s="19"/>
      <c r="Q81" s="5"/>
      <c r="R81" s="9"/>
    </row>
    <row r="82">
      <c r="A82" s="39">
        <v>46142.0</v>
      </c>
      <c r="B82" s="4" t="s">
        <v>90</v>
      </c>
      <c r="C82" s="21">
        <v>8.0</v>
      </c>
      <c r="E82" s="19"/>
      <c r="F82" s="5"/>
      <c r="H82" s="19"/>
      <c r="Q82" s="5"/>
      <c r="R82" s="9"/>
    </row>
    <row r="83">
      <c r="A83" s="39">
        <v>46142.0</v>
      </c>
      <c r="B83" s="4" t="s">
        <v>106</v>
      </c>
      <c r="C83" s="21">
        <v>7.0</v>
      </c>
      <c r="E83" s="19"/>
      <c r="F83" s="5"/>
      <c r="H83" s="19"/>
      <c r="Q83" s="5"/>
      <c r="R83" s="9"/>
    </row>
    <row r="84">
      <c r="A84" s="39">
        <v>46142.0</v>
      </c>
      <c r="B84" s="4" t="s">
        <v>95</v>
      </c>
      <c r="C84" s="21">
        <v>4.0</v>
      </c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84</v>
      </c>
      <c r="G1" s="28"/>
      <c r="H1" s="1" t="s">
        <v>46</v>
      </c>
      <c r="I1" s="5">
        <f>I6-I7</f>
        <v>-28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88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" t="s">
        <v>104</v>
      </c>
      <c r="T1" s="1"/>
      <c r="U1" s="1"/>
      <c r="V1" s="1"/>
      <c r="W1" s="19"/>
      <c r="X1" s="19"/>
      <c r="Y1" s="19"/>
      <c r="Z1" s="19"/>
    </row>
    <row r="2">
      <c r="A2" s="39">
        <v>46082.0</v>
      </c>
      <c r="B2" s="4" t="s">
        <v>8</v>
      </c>
      <c r="C2" s="21">
        <v>0.0</v>
      </c>
      <c r="E2" s="1" t="s">
        <v>52</v>
      </c>
      <c r="F2" s="5">
        <f t="shared" si="1"/>
        <v>73</v>
      </c>
      <c r="G2" s="28"/>
      <c r="H2" s="1" t="s">
        <v>6</v>
      </c>
      <c r="I2" s="5">
        <f>SUMIF(B:B,H2,C:C)</f>
        <v>1500</v>
      </c>
      <c r="K2" s="1" t="s">
        <v>53</v>
      </c>
      <c r="L2" s="5">
        <f t="shared" si="2"/>
        <v>0</v>
      </c>
      <c r="N2" s="39">
        <v>46082.0</v>
      </c>
      <c r="O2" s="5">
        <f>sumif(A:A,N2,C:C)-sum(C2:C4)</f>
        <v>109</v>
      </c>
      <c r="P2" s="5">
        <f>SUM(O2)</f>
        <v>109</v>
      </c>
      <c r="Q2" s="5">
        <f t="shared" ref="Q2:Q32" si="3">P2/(ROW()-1)</f>
        <v>109</v>
      </c>
      <c r="R2" s="9">
        <f t="shared" ref="R2:R32" si="4">count(N:N)*Q2</f>
        <v>3379</v>
      </c>
      <c r="S2" s="5">
        <f t="shared" ref="S2:S32" si="5">$I$1-(R2-P2)</f>
        <v>-3298</v>
      </c>
      <c r="T2" s="9"/>
      <c r="U2" s="9"/>
    </row>
    <row r="3">
      <c r="A3" s="39">
        <v>46082.0</v>
      </c>
      <c r="B3" s="4" t="s">
        <v>54</v>
      </c>
      <c r="C3" s="41">
        <f>800+235-(20)+5+9</f>
        <v>1029</v>
      </c>
      <c r="E3" s="1" t="s">
        <v>55</v>
      </c>
      <c r="F3" s="5">
        <f t="shared" si="1"/>
        <v>148</v>
      </c>
      <c r="G3" s="28"/>
      <c r="H3" s="1" t="s">
        <v>8</v>
      </c>
      <c r="I3" s="5">
        <f>SUMIF(B:B,H3,C:C)+I1</f>
        <v>-28</v>
      </c>
      <c r="K3" s="1" t="s">
        <v>56</v>
      </c>
      <c r="L3" s="5">
        <f t="shared" si="2"/>
        <v>0</v>
      </c>
      <c r="N3" s="39">
        <v>46083.0</v>
      </c>
      <c r="O3" s="40">
        <f t="shared" ref="O3:O32" si="6">sumif(A:A,N3,C:C)</f>
        <v>17</v>
      </c>
      <c r="P3" s="5">
        <f t="shared" ref="P3:P32" si="7">P2+O3</f>
        <v>126</v>
      </c>
      <c r="Q3" s="5">
        <f t="shared" si="3"/>
        <v>63</v>
      </c>
      <c r="R3" s="9">
        <f t="shared" si="4"/>
        <v>1953</v>
      </c>
      <c r="S3" s="5">
        <f t="shared" si="5"/>
        <v>-1855</v>
      </c>
    </row>
    <row r="4">
      <c r="A4" s="39">
        <v>46082.0</v>
      </c>
      <c r="B4" s="4" t="s">
        <v>6</v>
      </c>
      <c r="C4" s="21">
        <v>1500.0</v>
      </c>
      <c r="E4" s="1" t="s">
        <v>57</v>
      </c>
      <c r="F4" s="5">
        <f>SUMIF(B:B,"*"&amp;E4&amp;"*",C:C)+SUM(L1:L7)</f>
        <v>228</v>
      </c>
      <c r="G4" s="28"/>
      <c r="H4" s="1" t="s">
        <v>58</v>
      </c>
      <c r="I4" s="5">
        <f>I2+I3</f>
        <v>1472</v>
      </c>
      <c r="K4" s="1" t="s">
        <v>59</v>
      </c>
      <c r="L4" s="5">
        <f t="shared" si="2"/>
        <v>62</v>
      </c>
      <c r="N4" s="39">
        <v>46084.0</v>
      </c>
      <c r="O4" s="40">
        <f t="shared" si="6"/>
        <v>20</v>
      </c>
      <c r="P4" s="5">
        <f t="shared" si="7"/>
        <v>146</v>
      </c>
      <c r="Q4" s="5">
        <f t="shared" si="3"/>
        <v>48.66666667</v>
      </c>
      <c r="R4" s="9">
        <f t="shared" si="4"/>
        <v>1508.666667</v>
      </c>
      <c r="S4" s="5">
        <f t="shared" si="5"/>
        <v>-1390.666667</v>
      </c>
    </row>
    <row r="5">
      <c r="A5" s="39">
        <v>46082.0</v>
      </c>
      <c r="B5" s="4" t="s">
        <v>63</v>
      </c>
      <c r="C5" s="21">
        <v>7.0</v>
      </c>
      <c r="E5" s="42" t="s">
        <v>61</v>
      </c>
      <c r="F5" s="5">
        <f t="shared" ref="F5:F12" si="8">SUMIF(B:B,"*"&amp;E5&amp;"*",C:C)</f>
        <v>39</v>
      </c>
      <c r="G5" s="28"/>
      <c r="K5" s="1" t="s">
        <v>62</v>
      </c>
      <c r="L5" s="5">
        <f t="shared" si="2"/>
        <v>4</v>
      </c>
      <c r="N5" s="39">
        <v>46085.0</v>
      </c>
      <c r="O5" s="40">
        <f t="shared" si="6"/>
        <v>53</v>
      </c>
      <c r="P5" s="5">
        <f t="shared" si="7"/>
        <v>199</v>
      </c>
      <c r="Q5" s="5">
        <f t="shared" si="3"/>
        <v>49.75</v>
      </c>
      <c r="R5" s="9">
        <f t="shared" si="4"/>
        <v>1542.25</v>
      </c>
      <c r="S5" s="5">
        <f t="shared" si="5"/>
        <v>-1371.25</v>
      </c>
    </row>
    <row r="6">
      <c r="A6" s="39">
        <v>46082.0</v>
      </c>
      <c r="B6" s="4" t="s">
        <v>67</v>
      </c>
      <c r="C6" s="21">
        <v>22.0</v>
      </c>
      <c r="E6" s="1" t="s">
        <v>64</v>
      </c>
      <c r="F6" s="5">
        <f t="shared" si="8"/>
        <v>0</v>
      </c>
      <c r="G6" s="28"/>
      <c r="H6" s="1" t="s">
        <v>65</v>
      </c>
      <c r="I6" s="21">
        <v>3482.0</v>
      </c>
      <c r="K6" s="1" t="s">
        <v>66</v>
      </c>
      <c r="L6" s="5">
        <f t="shared" si="2"/>
        <v>54</v>
      </c>
      <c r="N6" s="39">
        <v>46086.0</v>
      </c>
      <c r="O6" s="40">
        <f t="shared" si="6"/>
        <v>75</v>
      </c>
      <c r="P6" s="5">
        <f t="shared" si="7"/>
        <v>274</v>
      </c>
      <c r="Q6" s="5">
        <f t="shared" si="3"/>
        <v>54.8</v>
      </c>
      <c r="R6" s="9">
        <f t="shared" si="4"/>
        <v>1698.8</v>
      </c>
      <c r="S6" s="5">
        <f t="shared" si="5"/>
        <v>-1452.8</v>
      </c>
    </row>
    <row r="7">
      <c r="A7" s="39">
        <v>46082.0</v>
      </c>
      <c r="B7" s="4" t="s">
        <v>70</v>
      </c>
      <c r="C7" s="21">
        <v>9.0</v>
      </c>
      <c r="E7" s="1" t="s">
        <v>54</v>
      </c>
      <c r="F7" s="5">
        <f t="shared" si="8"/>
        <v>1036</v>
      </c>
      <c r="G7" s="28"/>
      <c r="H7" s="1" t="s">
        <v>68</v>
      </c>
      <c r="I7" s="5">
        <f>sum(C:C)</f>
        <v>3510</v>
      </c>
      <c r="K7" s="1" t="s">
        <v>69</v>
      </c>
      <c r="L7" s="5">
        <f t="shared" si="2"/>
        <v>7</v>
      </c>
      <c r="N7" s="39">
        <v>46087.0</v>
      </c>
      <c r="O7" s="40">
        <f t="shared" si="6"/>
        <v>21</v>
      </c>
      <c r="P7" s="5">
        <f t="shared" si="7"/>
        <v>295</v>
      </c>
      <c r="Q7" s="5">
        <f t="shared" si="3"/>
        <v>49.16666667</v>
      </c>
      <c r="R7" s="9">
        <f t="shared" si="4"/>
        <v>1524.166667</v>
      </c>
      <c r="S7" s="5">
        <f t="shared" si="5"/>
        <v>-1257.166667</v>
      </c>
    </row>
    <row r="8">
      <c r="A8" s="39">
        <v>46082.0</v>
      </c>
      <c r="B8" s="4" t="s">
        <v>105</v>
      </c>
      <c r="C8" s="21">
        <v>18.0</v>
      </c>
      <c r="E8" s="1" t="s">
        <v>71</v>
      </c>
      <c r="F8" s="5">
        <f t="shared" si="8"/>
        <v>118</v>
      </c>
      <c r="G8" s="28"/>
      <c r="H8" s="1" t="s">
        <v>72</v>
      </c>
      <c r="I8" s="5">
        <f>sum(F:F)+I2+C2</f>
        <v>3318</v>
      </c>
      <c r="N8" s="39">
        <v>46088.0</v>
      </c>
      <c r="O8" s="40">
        <f t="shared" si="6"/>
        <v>11</v>
      </c>
      <c r="P8" s="5">
        <f t="shared" si="7"/>
        <v>306</v>
      </c>
      <c r="Q8" s="5">
        <f t="shared" si="3"/>
        <v>43.71428571</v>
      </c>
      <c r="R8" s="9">
        <f t="shared" si="4"/>
        <v>1355.142857</v>
      </c>
      <c r="S8" s="5">
        <f t="shared" si="5"/>
        <v>-1077.142857</v>
      </c>
    </row>
    <row r="9">
      <c r="A9" s="39">
        <v>46082.0</v>
      </c>
      <c r="B9" s="4" t="s">
        <v>52</v>
      </c>
      <c r="C9" s="4">
        <v>12.0</v>
      </c>
      <c r="E9" s="1" t="s">
        <v>73</v>
      </c>
      <c r="F9" s="5">
        <f t="shared" si="8"/>
        <v>0</v>
      </c>
      <c r="G9" s="28"/>
      <c r="H9" s="1" t="s">
        <v>74</v>
      </c>
      <c r="I9" s="5">
        <f>I7-I8</f>
        <v>192</v>
      </c>
      <c r="N9" s="39">
        <v>46089.0</v>
      </c>
      <c r="O9" s="40">
        <f t="shared" si="6"/>
        <v>9</v>
      </c>
      <c r="P9" s="5">
        <f t="shared" si="7"/>
        <v>315</v>
      </c>
      <c r="Q9" s="5">
        <f t="shared" si="3"/>
        <v>39.375</v>
      </c>
      <c r="R9" s="9">
        <f t="shared" si="4"/>
        <v>1220.625</v>
      </c>
      <c r="S9" s="5">
        <f t="shared" si="5"/>
        <v>-933.625</v>
      </c>
    </row>
    <row r="10">
      <c r="A10" s="39">
        <v>46082.0</v>
      </c>
      <c r="B10" s="4" t="s">
        <v>115</v>
      </c>
      <c r="C10" s="21">
        <v>6.0</v>
      </c>
      <c r="E10" s="1" t="s">
        <v>75</v>
      </c>
      <c r="F10" s="5">
        <f t="shared" si="8"/>
        <v>81</v>
      </c>
      <c r="G10" s="28"/>
      <c r="N10" s="39">
        <v>46090.0</v>
      </c>
      <c r="O10" s="40">
        <f t="shared" si="6"/>
        <v>16</v>
      </c>
      <c r="P10" s="5">
        <f t="shared" si="7"/>
        <v>331</v>
      </c>
      <c r="Q10" s="5">
        <f t="shared" si="3"/>
        <v>36.77777778</v>
      </c>
      <c r="R10" s="9">
        <f t="shared" si="4"/>
        <v>1140.111111</v>
      </c>
      <c r="S10" s="5">
        <f t="shared" si="5"/>
        <v>-837.1111111</v>
      </c>
    </row>
    <row r="11">
      <c r="A11" s="39">
        <v>46082.0</v>
      </c>
      <c r="B11" s="4" t="s">
        <v>116</v>
      </c>
      <c r="C11" s="21">
        <v>5.0</v>
      </c>
      <c r="E11" s="1" t="s">
        <v>76</v>
      </c>
      <c r="F11" s="5">
        <f t="shared" si="8"/>
        <v>11</v>
      </c>
      <c r="G11" s="28"/>
      <c r="H11" s="1" t="s">
        <v>3</v>
      </c>
      <c r="I11" s="28">
        <f>I4/I6</f>
        <v>0.4227455485</v>
      </c>
      <c r="N11" s="39">
        <v>46091.0</v>
      </c>
      <c r="O11" s="40">
        <f t="shared" si="6"/>
        <v>6</v>
      </c>
      <c r="P11" s="5">
        <f t="shared" si="7"/>
        <v>337</v>
      </c>
      <c r="Q11" s="5">
        <f t="shared" si="3"/>
        <v>33.7</v>
      </c>
      <c r="R11" s="9">
        <f t="shared" si="4"/>
        <v>1044.7</v>
      </c>
      <c r="S11" s="5">
        <f t="shared" si="5"/>
        <v>-735.7</v>
      </c>
    </row>
    <row r="12">
      <c r="A12" s="39">
        <v>46082.0</v>
      </c>
      <c r="B12" s="4" t="s">
        <v>117</v>
      </c>
      <c r="C12" s="21">
        <v>30.0</v>
      </c>
      <c r="E12" s="1" t="s">
        <v>77</v>
      </c>
      <c r="F12" s="5">
        <f t="shared" si="8"/>
        <v>0</v>
      </c>
      <c r="G12" s="28"/>
      <c r="N12" s="39">
        <v>46092.0</v>
      </c>
      <c r="O12" s="40">
        <f t="shared" si="6"/>
        <v>35</v>
      </c>
      <c r="P12" s="5">
        <f t="shared" si="7"/>
        <v>372</v>
      </c>
      <c r="Q12" s="5">
        <f t="shared" si="3"/>
        <v>33.81818182</v>
      </c>
      <c r="R12" s="9">
        <f t="shared" si="4"/>
        <v>1048.363636</v>
      </c>
      <c r="S12" s="5">
        <f t="shared" si="5"/>
        <v>-704.3636364</v>
      </c>
    </row>
    <row r="13">
      <c r="A13" s="39">
        <v>46083.0</v>
      </c>
      <c r="B13" s="4" t="s">
        <v>47</v>
      </c>
      <c r="C13" s="21">
        <v>17.0</v>
      </c>
      <c r="E13" s="1"/>
      <c r="F13" s="5"/>
      <c r="N13" s="39">
        <v>46093.0</v>
      </c>
      <c r="O13" s="40">
        <f t="shared" si="6"/>
        <v>27</v>
      </c>
      <c r="P13" s="5">
        <f t="shared" si="7"/>
        <v>399</v>
      </c>
      <c r="Q13" s="5">
        <f t="shared" si="3"/>
        <v>33.25</v>
      </c>
      <c r="R13" s="9">
        <f t="shared" si="4"/>
        <v>1030.75</v>
      </c>
      <c r="S13" s="5">
        <f t="shared" si="5"/>
        <v>-659.75</v>
      </c>
    </row>
    <row r="14">
      <c r="A14" s="39">
        <v>46084.0</v>
      </c>
      <c r="B14" s="4" t="s">
        <v>76</v>
      </c>
      <c r="C14" s="21">
        <v>1.0</v>
      </c>
      <c r="E14" s="1"/>
      <c r="F14" s="5"/>
      <c r="H14" s="19"/>
      <c r="N14" s="39">
        <v>46094.0</v>
      </c>
      <c r="O14" s="40">
        <f t="shared" si="6"/>
        <v>43</v>
      </c>
      <c r="P14" s="5">
        <f t="shared" si="7"/>
        <v>442</v>
      </c>
      <c r="Q14" s="5">
        <f t="shared" si="3"/>
        <v>34</v>
      </c>
      <c r="R14" s="9">
        <f t="shared" si="4"/>
        <v>1054</v>
      </c>
      <c r="S14" s="5">
        <f t="shared" si="5"/>
        <v>-640</v>
      </c>
    </row>
    <row r="15">
      <c r="A15" s="39">
        <v>46084.0</v>
      </c>
      <c r="B15" s="4" t="s">
        <v>90</v>
      </c>
      <c r="C15" s="21">
        <v>11.0</v>
      </c>
      <c r="E15" s="1"/>
      <c r="H15" s="1"/>
      <c r="N15" s="39">
        <v>46095.0</v>
      </c>
      <c r="O15" s="40">
        <f t="shared" si="6"/>
        <v>37</v>
      </c>
      <c r="P15" s="5">
        <f t="shared" si="7"/>
        <v>479</v>
      </c>
      <c r="Q15" s="5">
        <f t="shared" si="3"/>
        <v>34.21428571</v>
      </c>
      <c r="R15" s="9">
        <f t="shared" si="4"/>
        <v>1060.642857</v>
      </c>
      <c r="S15" s="5">
        <f t="shared" si="5"/>
        <v>-609.6428571</v>
      </c>
    </row>
    <row r="16">
      <c r="A16" s="39">
        <v>46084.0</v>
      </c>
      <c r="B16" s="4" t="s">
        <v>88</v>
      </c>
      <c r="C16" s="21">
        <v>8.0</v>
      </c>
      <c r="H16" s="19"/>
      <c r="N16" s="39">
        <v>46096.0</v>
      </c>
      <c r="O16" s="40">
        <f t="shared" si="6"/>
        <v>18</v>
      </c>
      <c r="P16" s="5">
        <f t="shared" si="7"/>
        <v>497</v>
      </c>
      <c r="Q16" s="5">
        <f t="shared" si="3"/>
        <v>33.13333333</v>
      </c>
      <c r="R16" s="9">
        <f t="shared" si="4"/>
        <v>1027.133333</v>
      </c>
      <c r="S16" s="5">
        <f t="shared" si="5"/>
        <v>-558.1333333</v>
      </c>
    </row>
    <row r="17">
      <c r="A17" s="39">
        <v>46085.0</v>
      </c>
      <c r="B17" s="4" t="s">
        <v>45</v>
      </c>
      <c r="C17" s="21">
        <v>8.0</v>
      </c>
      <c r="H17" s="19"/>
      <c r="N17" s="39">
        <v>46097.0</v>
      </c>
      <c r="O17" s="40">
        <f t="shared" si="6"/>
        <v>24</v>
      </c>
      <c r="P17" s="5">
        <f t="shared" si="7"/>
        <v>521</v>
      </c>
      <c r="Q17" s="5">
        <f t="shared" si="3"/>
        <v>32.5625</v>
      </c>
      <c r="R17" s="9">
        <f t="shared" si="4"/>
        <v>1009.4375</v>
      </c>
      <c r="S17" s="5">
        <f t="shared" si="5"/>
        <v>-516.4375</v>
      </c>
    </row>
    <row r="18">
      <c r="A18" s="39">
        <v>46085.0</v>
      </c>
      <c r="B18" s="4" t="s">
        <v>95</v>
      </c>
      <c r="C18" s="21">
        <v>4.0</v>
      </c>
      <c r="H18" s="19"/>
      <c r="N18" s="39">
        <v>46098.0</v>
      </c>
      <c r="O18" s="40">
        <f t="shared" si="6"/>
        <v>51</v>
      </c>
      <c r="P18" s="5">
        <f t="shared" si="7"/>
        <v>572</v>
      </c>
      <c r="Q18" s="5">
        <f t="shared" si="3"/>
        <v>33.64705882</v>
      </c>
      <c r="R18" s="9">
        <f t="shared" si="4"/>
        <v>1043.058824</v>
      </c>
      <c r="S18" s="5">
        <f t="shared" si="5"/>
        <v>-499.0588235</v>
      </c>
    </row>
    <row r="19">
      <c r="A19" s="39">
        <v>46085.0</v>
      </c>
      <c r="B19" s="4" t="s">
        <v>90</v>
      </c>
      <c r="C19" s="21">
        <v>10.0</v>
      </c>
      <c r="H19" s="19"/>
      <c r="N19" s="39">
        <v>46099.0</v>
      </c>
      <c r="O19" s="40">
        <f t="shared" si="6"/>
        <v>24</v>
      </c>
      <c r="P19" s="5">
        <f t="shared" si="7"/>
        <v>596</v>
      </c>
      <c r="Q19" s="5">
        <f t="shared" si="3"/>
        <v>33.11111111</v>
      </c>
      <c r="R19" s="9">
        <f t="shared" si="4"/>
        <v>1026.444444</v>
      </c>
      <c r="S19" s="5">
        <f t="shared" si="5"/>
        <v>-458.4444444</v>
      </c>
    </row>
    <row r="20">
      <c r="A20" s="39">
        <v>46085.0</v>
      </c>
      <c r="B20" s="4" t="s">
        <v>62</v>
      </c>
      <c r="C20" s="21">
        <v>2.0</v>
      </c>
      <c r="H20" s="19"/>
      <c r="N20" s="39">
        <v>46100.0</v>
      </c>
      <c r="O20" s="40">
        <f t="shared" si="6"/>
        <v>93</v>
      </c>
      <c r="P20" s="5">
        <f t="shared" si="7"/>
        <v>689</v>
      </c>
      <c r="Q20" s="5">
        <f t="shared" si="3"/>
        <v>36.26315789</v>
      </c>
      <c r="R20" s="9">
        <f t="shared" si="4"/>
        <v>1124.157895</v>
      </c>
      <c r="S20" s="5">
        <f t="shared" si="5"/>
        <v>-463.1578947</v>
      </c>
    </row>
    <row r="21">
      <c r="A21" s="39">
        <v>46085.0</v>
      </c>
      <c r="B21" s="4" t="s">
        <v>93</v>
      </c>
      <c r="C21" s="21">
        <v>20.0</v>
      </c>
      <c r="E21" s="19"/>
      <c r="F21" s="5"/>
      <c r="H21" s="19"/>
      <c r="N21" s="39">
        <v>46101.0</v>
      </c>
      <c r="O21" s="40">
        <f t="shared" si="6"/>
        <v>0</v>
      </c>
      <c r="P21" s="5">
        <f t="shared" si="7"/>
        <v>689</v>
      </c>
      <c r="Q21" s="5">
        <f t="shared" si="3"/>
        <v>34.45</v>
      </c>
      <c r="R21" s="9">
        <f t="shared" si="4"/>
        <v>1067.95</v>
      </c>
      <c r="S21" s="5">
        <f t="shared" si="5"/>
        <v>-406.95</v>
      </c>
    </row>
    <row r="22">
      <c r="A22" s="39">
        <v>46085.0</v>
      </c>
      <c r="B22" s="4" t="s">
        <v>88</v>
      </c>
      <c r="C22" s="21">
        <v>9.0</v>
      </c>
      <c r="E22" s="19"/>
      <c r="F22" s="5"/>
      <c r="H22" s="19"/>
      <c r="N22" s="39">
        <v>46102.0</v>
      </c>
      <c r="O22" s="40">
        <f t="shared" si="6"/>
        <v>73</v>
      </c>
      <c r="P22" s="5">
        <f t="shared" si="7"/>
        <v>762</v>
      </c>
      <c r="Q22" s="5">
        <f t="shared" si="3"/>
        <v>36.28571429</v>
      </c>
      <c r="R22" s="9">
        <f t="shared" si="4"/>
        <v>1124.857143</v>
      </c>
      <c r="S22" s="5">
        <f t="shared" si="5"/>
        <v>-390.8571429</v>
      </c>
    </row>
    <row r="23">
      <c r="A23" s="39">
        <v>46086.0</v>
      </c>
      <c r="B23" s="4" t="s">
        <v>66</v>
      </c>
      <c r="C23" s="21">
        <v>4.0</v>
      </c>
      <c r="E23" s="19"/>
      <c r="F23" s="5"/>
      <c r="H23" s="19"/>
      <c r="N23" s="39">
        <v>46103.0</v>
      </c>
      <c r="O23" s="40">
        <f t="shared" si="6"/>
        <v>39</v>
      </c>
      <c r="P23" s="5">
        <f t="shared" si="7"/>
        <v>801</v>
      </c>
      <c r="Q23" s="5">
        <f t="shared" si="3"/>
        <v>36.40909091</v>
      </c>
      <c r="R23" s="9">
        <f t="shared" si="4"/>
        <v>1128.681818</v>
      </c>
      <c r="S23" s="5">
        <f t="shared" si="5"/>
        <v>-355.6818182</v>
      </c>
    </row>
    <row r="24">
      <c r="A24" s="39">
        <v>46086.0</v>
      </c>
      <c r="B24" s="4" t="s">
        <v>47</v>
      </c>
      <c r="C24" s="21">
        <v>4.0</v>
      </c>
      <c r="F24" s="5"/>
      <c r="H24" s="19"/>
      <c r="N24" s="39">
        <v>46104.0</v>
      </c>
      <c r="O24" s="40">
        <f t="shared" si="6"/>
        <v>5</v>
      </c>
      <c r="P24" s="5">
        <f t="shared" si="7"/>
        <v>806</v>
      </c>
      <c r="Q24" s="5">
        <f t="shared" si="3"/>
        <v>35.04347826</v>
      </c>
      <c r="R24" s="9">
        <f t="shared" si="4"/>
        <v>1086.347826</v>
      </c>
      <c r="S24" s="5">
        <f t="shared" si="5"/>
        <v>-308.3478261</v>
      </c>
    </row>
    <row r="25">
      <c r="A25" s="39">
        <v>46086.0</v>
      </c>
      <c r="B25" s="4" t="s">
        <v>118</v>
      </c>
      <c r="C25" s="21">
        <v>59.0</v>
      </c>
      <c r="F25" s="5"/>
      <c r="H25" s="19"/>
      <c r="N25" s="39">
        <v>46105.0</v>
      </c>
      <c r="O25" s="40">
        <f t="shared" si="6"/>
        <v>13</v>
      </c>
      <c r="P25" s="5">
        <f t="shared" si="7"/>
        <v>819</v>
      </c>
      <c r="Q25" s="5">
        <f t="shared" si="3"/>
        <v>34.125</v>
      </c>
      <c r="R25" s="9">
        <f t="shared" si="4"/>
        <v>1057.875</v>
      </c>
      <c r="S25" s="5">
        <f t="shared" si="5"/>
        <v>-266.875</v>
      </c>
    </row>
    <row r="26">
      <c r="A26" s="39">
        <v>46086.0</v>
      </c>
      <c r="B26" s="4" t="s">
        <v>45</v>
      </c>
      <c r="C26" s="21">
        <v>8.0</v>
      </c>
      <c r="F26" s="5"/>
      <c r="H26" s="19"/>
      <c r="N26" s="39">
        <v>46106.0</v>
      </c>
      <c r="O26" s="40">
        <f t="shared" si="6"/>
        <v>10</v>
      </c>
      <c r="P26" s="5">
        <f t="shared" si="7"/>
        <v>829</v>
      </c>
      <c r="Q26" s="5">
        <f t="shared" si="3"/>
        <v>33.16</v>
      </c>
      <c r="R26" s="9">
        <f t="shared" si="4"/>
        <v>1027.96</v>
      </c>
      <c r="S26" s="5">
        <f t="shared" si="5"/>
        <v>-226.96</v>
      </c>
    </row>
    <row r="27">
      <c r="A27" s="39">
        <v>46087.0</v>
      </c>
      <c r="B27" s="4" t="s">
        <v>59</v>
      </c>
      <c r="C27" s="21">
        <v>6.0</v>
      </c>
      <c r="F27" s="5"/>
      <c r="H27" s="19"/>
      <c r="N27" s="39">
        <v>46107.0</v>
      </c>
      <c r="O27" s="40">
        <f t="shared" si="6"/>
        <v>23</v>
      </c>
      <c r="P27" s="5">
        <f t="shared" si="7"/>
        <v>852</v>
      </c>
      <c r="Q27" s="5">
        <f t="shared" si="3"/>
        <v>32.76923077</v>
      </c>
      <c r="R27" s="9">
        <f t="shared" si="4"/>
        <v>1015.846154</v>
      </c>
      <c r="S27" s="5">
        <f t="shared" si="5"/>
        <v>-191.8461538</v>
      </c>
    </row>
    <row r="28">
      <c r="A28" s="39">
        <v>46087.0</v>
      </c>
      <c r="B28" s="4" t="s">
        <v>88</v>
      </c>
      <c r="C28" s="21">
        <v>9.0</v>
      </c>
      <c r="F28" s="5"/>
      <c r="H28" s="19"/>
      <c r="N28" s="39">
        <v>46108.0</v>
      </c>
      <c r="O28" s="40">
        <f t="shared" si="6"/>
        <v>73</v>
      </c>
      <c r="P28" s="5">
        <f t="shared" si="7"/>
        <v>925</v>
      </c>
      <c r="Q28" s="5">
        <f t="shared" si="3"/>
        <v>34.25925926</v>
      </c>
      <c r="R28" s="9">
        <f t="shared" si="4"/>
        <v>1062.037037</v>
      </c>
      <c r="S28" s="5">
        <f t="shared" si="5"/>
        <v>-165.037037</v>
      </c>
    </row>
    <row r="29">
      <c r="A29" s="39">
        <v>46087.0</v>
      </c>
      <c r="B29" s="4" t="s">
        <v>66</v>
      </c>
      <c r="C29" s="21">
        <v>6.0</v>
      </c>
      <c r="F29" s="5"/>
      <c r="H29" s="19"/>
      <c r="N29" s="39">
        <v>46109.0</v>
      </c>
      <c r="O29" s="40">
        <f t="shared" si="6"/>
        <v>15</v>
      </c>
      <c r="P29" s="5">
        <f t="shared" si="7"/>
        <v>940</v>
      </c>
      <c r="Q29" s="5">
        <f t="shared" si="3"/>
        <v>33.57142857</v>
      </c>
      <c r="R29" s="9">
        <f t="shared" si="4"/>
        <v>1040.714286</v>
      </c>
      <c r="S29" s="5">
        <f t="shared" si="5"/>
        <v>-128.7142857</v>
      </c>
    </row>
    <row r="30">
      <c r="A30" s="39">
        <v>46088.0</v>
      </c>
      <c r="B30" s="4" t="s">
        <v>47</v>
      </c>
      <c r="C30" s="21">
        <v>11.0</v>
      </c>
      <c r="F30" s="5"/>
      <c r="H30" s="19"/>
      <c r="N30" s="39">
        <v>46110.0</v>
      </c>
      <c r="O30" s="40">
        <f t="shared" si="6"/>
        <v>22</v>
      </c>
      <c r="P30" s="5">
        <f t="shared" si="7"/>
        <v>962</v>
      </c>
      <c r="Q30" s="5">
        <f t="shared" si="3"/>
        <v>33.17241379</v>
      </c>
      <c r="R30" s="9">
        <f t="shared" si="4"/>
        <v>1028.344828</v>
      </c>
      <c r="S30" s="5">
        <f t="shared" si="5"/>
        <v>-94.34482759</v>
      </c>
    </row>
    <row r="31">
      <c r="A31" s="39">
        <v>46089.0</v>
      </c>
      <c r="B31" s="4" t="s">
        <v>76</v>
      </c>
      <c r="C31" s="21">
        <v>9.0</v>
      </c>
      <c r="E31" s="19"/>
      <c r="F31" s="5"/>
      <c r="H31" s="19"/>
      <c r="N31" s="39">
        <v>46111.0</v>
      </c>
      <c r="O31" s="40">
        <f t="shared" si="6"/>
        <v>12</v>
      </c>
      <c r="P31" s="5">
        <f t="shared" si="7"/>
        <v>974</v>
      </c>
      <c r="Q31" s="5">
        <f t="shared" si="3"/>
        <v>32.46666667</v>
      </c>
      <c r="R31" s="9">
        <f t="shared" si="4"/>
        <v>1006.466667</v>
      </c>
      <c r="S31" s="5">
        <f t="shared" si="5"/>
        <v>-60.46666667</v>
      </c>
    </row>
    <row r="32">
      <c r="A32" s="39">
        <v>46090.0</v>
      </c>
      <c r="B32" s="4" t="s">
        <v>119</v>
      </c>
      <c r="C32" s="21">
        <v>1.0</v>
      </c>
      <c r="E32" s="19"/>
      <c r="F32" s="5"/>
      <c r="H32" s="19"/>
      <c r="N32" s="39">
        <v>46112.0</v>
      </c>
      <c r="O32" s="40">
        <f t="shared" si="6"/>
        <v>7</v>
      </c>
      <c r="P32" s="5">
        <f t="shared" si="7"/>
        <v>981</v>
      </c>
      <c r="Q32" s="5">
        <f t="shared" si="3"/>
        <v>31.64516129</v>
      </c>
      <c r="R32" s="9">
        <f t="shared" si="4"/>
        <v>981</v>
      </c>
      <c r="S32" s="5">
        <f t="shared" si="5"/>
        <v>-28</v>
      </c>
    </row>
    <row r="33">
      <c r="A33" s="39">
        <v>46090.0</v>
      </c>
      <c r="B33" s="4" t="s">
        <v>47</v>
      </c>
      <c r="C33" s="21">
        <v>6.0</v>
      </c>
      <c r="E33" s="19"/>
      <c r="F33" s="5"/>
      <c r="H33" s="19"/>
      <c r="N33" s="39"/>
      <c r="Q33" s="5"/>
      <c r="R33" s="9"/>
    </row>
    <row r="34">
      <c r="A34" s="39">
        <v>46090.0</v>
      </c>
      <c r="B34" s="4" t="s">
        <v>88</v>
      </c>
      <c r="C34" s="21">
        <v>9.0</v>
      </c>
      <c r="E34" s="19"/>
      <c r="F34" s="5"/>
      <c r="H34" s="19"/>
      <c r="Q34" s="5"/>
      <c r="R34" s="9"/>
    </row>
    <row r="35">
      <c r="A35" s="39">
        <v>46091.0</v>
      </c>
      <c r="B35" s="4" t="s">
        <v>66</v>
      </c>
      <c r="C35" s="21">
        <v>6.0</v>
      </c>
      <c r="E35" s="19"/>
      <c r="F35" s="5"/>
      <c r="H35" s="19"/>
      <c r="Q35" s="5"/>
      <c r="R35" s="9"/>
    </row>
    <row r="36">
      <c r="A36" s="39">
        <v>46092.0</v>
      </c>
      <c r="B36" s="4" t="s">
        <v>95</v>
      </c>
      <c r="C36" s="21">
        <v>5.0</v>
      </c>
      <c r="E36" s="19"/>
      <c r="F36" s="5"/>
      <c r="H36" s="19"/>
      <c r="Q36" s="5"/>
      <c r="R36" s="9"/>
    </row>
    <row r="37">
      <c r="A37" s="39">
        <v>46092.0</v>
      </c>
      <c r="B37" s="4" t="s">
        <v>90</v>
      </c>
      <c r="C37" s="21">
        <v>8.0</v>
      </c>
      <c r="E37" s="19"/>
      <c r="F37" s="5"/>
      <c r="H37" s="19"/>
      <c r="Q37" s="5"/>
      <c r="R37" s="9"/>
    </row>
    <row r="38">
      <c r="A38" s="39">
        <v>46092.0</v>
      </c>
      <c r="B38" s="4" t="s">
        <v>47</v>
      </c>
      <c r="C38" s="21">
        <v>10.0</v>
      </c>
      <c r="E38" s="19"/>
      <c r="F38" s="5"/>
      <c r="H38" s="19"/>
      <c r="Q38" s="5"/>
      <c r="R38" s="9"/>
    </row>
    <row r="39">
      <c r="A39" s="39">
        <v>46092.0</v>
      </c>
      <c r="B39" s="4" t="s">
        <v>88</v>
      </c>
      <c r="C39" s="21">
        <v>8.0</v>
      </c>
      <c r="E39" s="19"/>
      <c r="F39" s="5"/>
      <c r="H39" s="19"/>
      <c r="Q39" s="5"/>
      <c r="R39" s="9"/>
    </row>
    <row r="40">
      <c r="A40" s="39">
        <v>46092.0</v>
      </c>
      <c r="B40" s="4" t="s">
        <v>100</v>
      </c>
      <c r="C40" s="21">
        <v>4.0</v>
      </c>
      <c r="E40" s="19"/>
      <c r="F40" s="5"/>
      <c r="H40" s="19"/>
      <c r="Q40" s="5"/>
      <c r="R40" s="9"/>
    </row>
    <row r="41">
      <c r="A41" s="39">
        <v>46093.0</v>
      </c>
      <c r="B41" s="4" t="s">
        <v>59</v>
      </c>
      <c r="C41" s="21">
        <v>27.0</v>
      </c>
      <c r="E41" s="19"/>
      <c r="F41" s="5"/>
      <c r="H41" s="19"/>
      <c r="Q41" s="5"/>
      <c r="R41" s="9"/>
    </row>
    <row r="42">
      <c r="A42" s="39">
        <v>46094.0</v>
      </c>
      <c r="B42" s="4" t="s">
        <v>52</v>
      </c>
      <c r="C42" s="21">
        <v>17.0</v>
      </c>
      <c r="E42" s="19"/>
      <c r="F42" s="5"/>
      <c r="H42" s="19"/>
      <c r="Q42" s="5"/>
      <c r="R42" s="9"/>
    </row>
    <row r="43">
      <c r="A43" s="39">
        <v>46094.0</v>
      </c>
      <c r="B43" s="4" t="s">
        <v>45</v>
      </c>
      <c r="C43" s="21">
        <v>26.0</v>
      </c>
      <c r="E43" s="19"/>
      <c r="F43" s="5"/>
      <c r="H43" s="19"/>
      <c r="Q43" s="5"/>
      <c r="R43" s="9"/>
    </row>
    <row r="44">
      <c r="A44" s="39">
        <v>46095.0</v>
      </c>
      <c r="B44" s="4" t="s">
        <v>59</v>
      </c>
      <c r="C44" s="21">
        <v>29.0</v>
      </c>
      <c r="E44" s="19"/>
      <c r="F44" s="5"/>
      <c r="H44" s="19"/>
      <c r="Q44" s="5"/>
      <c r="R44" s="9"/>
    </row>
    <row r="45">
      <c r="A45" s="39">
        <v>46095.0</v>
      </c>
      <c r="B45" s="4" t="s">
        <v>66</v>
      </c>
      <c r="C45" s="21">
        <v>2.0</v>
      </c>
      <c r="E45" s="19"/>
      <c r="F45" s="5"/>
      <c r="H45" s="19"/>
      <c r="Q45" s="5"/>
      <c r="R45" s="9"/>
    </row>
    <row r="46">
      <c r="A46" s="39">
        <v>46095.0</v>
      </c>
      <c r="B46" s="4" t="s">
        <v>92</v>
      </c>
      <c r="C46" s="21">
        <v>6.0</v>
      </c>
      <c r="E46" s="19"/>
      <c r="F46" s="5"/>
      <c r="H46" s="19"/>
      <c r="Q46" s="5"/>
      <c r="R46" s="9"/>
    </row>
    <row r="47">
      <c r="A47" s="39">
        <v>46096.0</v>
      </c>
      <c r="B47" s="4" t="s">
        <v>120</v>
      </c>
      <c r="C47" s="21">
        <v>14.0</v>
      </c>
      <c r="E47" s="19"/>
      <c r="F47" s="5"/>
      <c r="H47" s="19"/>
      <c r="Q47" s="5"/>
      <c r="R47" s="9"/>
    </row>
    <row r="48">
      <c r="A48" s="39">
        <v>46096.0</v>
      </c>
      <c r="B48" s="4" t="s">
        <v>66</v>
      </c>
      <c r="C48" s="21">
        <v>4.0</v>
      </c>
      <c r="E48" s="19"/>
      <c r="F48" s="5"/>
      <c r="H48" s="19"/>
      <c r="Q48" s="5"/>
      <c r="R48" s="9"/>
    </row>
    <row r="49">
      <c r="A49" s="39">
        <v>46097.0</v>
      </c>
      <c r="B49" s="4" t="s">
        <v>121</v>
      </c>
      <c r="C49" s="21">
        <v>24.0</v>
      </c>
      <c r="E49" s="19"/>
      <c r="F49" s="5"/>
      <c r="H49" s="19"/>
      <c r="Q49" s="5"/>
      <c r="R49" s="9"/>
    </row>
    <row r="50">
      <c r="A50" s="39">
        <v>46098.0</v>
      </c>
      <c r="B50" s="4" t="s">
        <v>47</v>
      </c>
      <c r="C50" s="21">
        <v>4.0</v>
      </c>
      <c r="E50" s="19"/>
      <c r="F50" s="5"/>
      <c r="H50" s="19"/>
      <c r="Q50" s="5"/>
      <c r="R50" s="9"/>
    </row>
    <row r="51">
      <c r="A51" s="39">
        <v>46098.0</v>
      </c>
      <c r="B51" s="4" t="s">
        <v>81</v>
      </c>
      <c r="C51" s="21">
        <v>38.0</v>
      </c>
      <c r="E51" s="19"/>
      <c r="F51" s="5"/>
      <c r="H51" s="19"/>
      <c r="Q51" s="5"/>
      <c r="R51" s="9"/>
    </row>
    <row r="52">
      <c r="A52" s="39">
        <v>46098.0</v>
      </c>
      <c r="B52" s="4" t="s">
        <v>92</v>
      </c>
      <c r="C52" s="21">
        <v>9.0</v>
      </c>
      <c r="E52" s="19"/>
      <c r="F52" s="5"/>
      <c r="H52" s="19"/>
      <c r="Q52" s="5"/>
      <c r="R52" s="9"/>
    </row>
    <row r="53">
      <c r="A53" s="39">
        <v>46099.0</v>
      </c>
      <c r="B53" s="4" t="s">
        <v>92</v>
      </c>
      <c r="C53" s="21">
        <v>13.0</v>
      </c>
      <c r="E53" s="19"/>
      <c r="F53" s="5"/>
      <c r="H53" s="19"/>
      <c r="Q53" s="5"/>
      <c r="R53" s="9"/>
    </row>
    <row r="54">
      <c r="A54" s="39">
        <v>46099.0</v>
      </c>
      <c r="B54" s="4" t="s">
        <v>90</v>
      </c>
      <c r="C54" s="21">
        <v>11.0</v>
      </c>
      <c r="E54" s="19"/>
      <c r="F54" s="5"/>
      <c r="H54" s="19"/>
      <c r="Q54" s="5"/>
      <c r="R54" s="9"/>
    </row>
    <row r="55">
      <c r="A55" s="39">
        <v>46100.0</v>
      </c>
      <c r="B55" s="4" t="s">
        <v>92</v>
      </c>
      <c r="C55" s="21">
        <v>15.0</v>
      </c>
      <c r="E55" s="19"/>
      <c r="F55" s="5"/>
      <c r="H55" s="19"/>
      <c r="Q55" s="5"/>
      <c r="R55" s="9"/>
    </row>
    <row r="56">
      <c r="A56" s="39">
        <v>46100.0</v>
      </c>
      <c r="B56" s="4" t="s">
        <v>90</v>
      </c>
      <c r="C56" s="21">
        <v>8.0</v>
      </c>
      <c r="E56" s="19"/>
      <c r="F56" s="5"/>
      <c r="H56" s="19"/>
      <c r="Q56" s="5"/>
      <c r="R56" s="9"/>
    </row>
    <row r="57">
      <c r="A57" s="39">
        <v>46100.0</v>
      </c>
      <c r="B57" s="4" t="s">
        <v>62</v>
      </c>
      <c r="C57" s="21">
        <v>2.0</v>
      </c>
      <c r="E57" s="19"/>
      <c r="F57" s="5"/>
      <c r="H57" s="19"/>
      <c r="Q57" s="5"/>
      <c r="R57" s="9"/>
    </row>
    <row r="58">
      <c r="A58" s="39">
        <v>46100.0</v>
      </c>
      <c r="B58" s="4" t="s">
        <v>95</v>
      </c>
      <c r="C58" s="43">
        <v>4.0</v>
      </c>
      <c r="E58" s="19"/>
      <c r="F58" s="5"/>
      <c r="H58" s="19"/>
      <c r="Q58" s="5"/>
      <c r="R58" s="9"/>
    </row>
    <row r="59">
      <c r="A59" s="39">
        <v>46100.0</v>
      </c>
      <c r="B59" s="4" t="s">
        <v>93</v>
      </c>
      <c r="C59" s="21">
        <v>54.0</v>
      </c>
      <c r="E59" s="19"/>
      <c r="F59" s="5"/>
      <c r="H59" s="19"/>
      <c r="Q59" s="5"/>
      <c r="R59" s="9"/>
    </row>
    <row r="60">
      <c r="A60" s="39">
        <v>46100.0</v>
      </c>
      <c r="B60" s="4" t="s">
        <v>108</v>
      </c>
      <c r="C60" s="21">
        <v>10.0</v>
      </c>
      <c r="E60" s="19"/>
      <c r="F60" s="5"/>
      <c r="H60" s="19"/>
      <c r="Q60" s="5"/>
      <c r="R60" s="9"/>
    </row>
    <row r="61">
      <c r="A61" s="39">
        <v>46102.0</v>
      </c>
      <c r="B61" s="4" t="s">
        <v>122</v>
      </c>
      <c r="C61" s="4">
        <v>26.0</v>
      </c>
      <c r="E61" s="19"/>
      <c r="F61" s="5"/>
      <c r="H61" s="19"/>
      <c r="Q61" s="5"/>
      <c r="R61" s="9"/>
    </row>
    <row r="62">
      <c r="A62" s="39">
        <v>46102.0</v>
      </c>
      <c r="B62" s="4" t="s">
        <v>84</v>
      </c>
      <c r="C62" s="21">
        <v>8.0</v>
      </c>
      <c r="E62" s="19"/>
      <c r="F62" s="5"/>
      <c r="H62" s="19"/>
      <c r="Q62" s="5"/>
      <c r="R62" s="9"/>
    </row>
    <row r="63">
      <c r="A63" s="39">
        <v>46102.0</v>
      </c>
      <c r="B63" s="4" t="s">
        <v>45</v>
      </c>
      <c r="C63" s="21">
        <v>22.0</v>
      </c>
      <c r="E63" s="19"/>
      <c r="F63" s="5"/>
      <c r="H63" s="19"/>
      <c r="Q63" s="5"/>
      <c r="R63" s="9"/>
    </row>
    <row r="64">
      <c r="A64" s="39">
        <v>46102.0</v>
      </c>
      <c r="B64" s="4" t="s">
        <v>66</v>
      </c>
      <c r="C64" s="21">
        <v>2.0</v>
      </c>
      <c r="E64" s="19"/>
      <c r="F64" s="5"/>
      <c r="H64" s="19"/>
      <c r="Q64" s="5"/>
      <c r="R64" s="9"/>
    </row>
    <row r="65">
      <c r="A65" s="39">
        <v>46102.0</v>
      </c>
      <c r="B65" s="4" t="s">
        <v>47</v>
      </c>
      <c r="C65" s="21">
        <v>9.0</v>
      </c>
      <c r="E65" s="19"/>
      <c r="F65" s="5"/>
      <c r="H65" s="19"/>
      <c r="Q65" s="5"/>
      <c r="R65" s="9"/>
    </row>
    <row r="66">
      <c r="A66" s="39">
        <v>46102.0</v>
      </c>
      <c r="B66" s="4" t="s">
        <v>88</v>
      </c>
      <c r="C66" s="21">
        <v>6.0</v>
      </c>
      <c r="E66" s="19"/>
      <c r="F66" s="5"/>
      <c r="H66" s="19"/>
      <c r="Q66" s="5"/>
      <c r="R66" s="9"/>
    </row>
    <row r="67">
      <c r="A67" s="39">
        <v>46103.0</v>
      </c>
      <c r="B67" s="4" t="s">
        <v>52</v>
      </c>
      <c r="C67" s="21">
        <v>19.0</v>
      </c>
      <c r="E67" s="19"/>
      <c r="F67" s="5"/>
      <c r="H67" s="19"/>
      <c r="Q67" s="5"/>
      <c r="R67" s="9"/>
    </row>
    <row r="68">
      <c r="A68" s="39">
        <v>46103.0</v>
      </c>
      <c r="B68" s="4" t="s">
        <v>123</v>
      </c>
      <c r="C68" s="21">
        <v>20.0</v>
      </c>
      <c r="E68" s="19"/>
      <c r="F68" s="5"/>
      <c r="H68" s="19"/>
      <c r="Q68" s="5"/>
      <c r="R68" s="9"/>
    </row>
    <row r="69">
      <c r="A69" s="39">
        <v>46104.0</v>
      </c>
      <c r="B69" s="4" t="s">
        <v>66</v>
      </c>
      <c r="C69" s="21">
        <v>5.0</v>
      </c>
      <c r="E69" s="19"/>
      <c r="F69" s="5"/>
      <c r="H69" s="19"/>
      <c r="Q69" s="5"/>
      <c r="R69" s="9"/>
    </row>
    <row r="70">
      <c r="A70" s="39">
        <v>46105.0</v>
      </c>
      <c r="B70" s="4" t="s">
        <v>85</v>
      </c>
      <c r="C70" s="21">
        <v>6.0</v>
      </c>
      <c r="E70" s="19"/>
      <c r="F70" s="5"/>
      <c r="H70" s="19"/>
      <c r="Q70" s="5"/>
      <c r="R70" s="9"/>
    </row>
    <row r="71">
      <c r="A71" s="39">
        <v>46105.0</v>
      </c>
      <c r="B71" s="4" t="s">
        <v>124</v>
      </c>
      <c r="C71" s="21">
        <v>2.0</v>
      </c>
      <c r="E71" s="19"/>
      <c r="F71" s="5"/>
      <c r="H71" s="19"/>
      <c r="Q71" s="5"/>
      <c r="R71" s="9"/>
    </row>
    <row r="72">
      <c r="A72" s="39">
        <v>46105.0</v>
      </c>
      <c r="B72" s="4" t="s">
        <v>66</v>
      </c>
      <c r="C72" s="21">
        <v>5.0</v>
      </c>
      <c r="E72" s="19"/>
      <c r="F72" s="5"/>
      <c r="H72" s="19"/>
      <c r="Q72" s="5"/>
      <c r="R72" s="9"/>
    </row>
    <row r="73">
      <c r="A73" s="39">
        <v>46106.0</v>
      </c>
      <c r="B73" s="4" t="s">
        <v>57</v>
      </c>
      <c r="C73" s="21">
        <v>10.0</v>
      </c>
      <c r="E73" s="19"/>
      <c r="F73" s="5"/>
      <c r="H73" s="19"/>
      <c r="Q73" s="5"/>
      <c r="R73" s="9"/>
    </row>
    <row r="74">
      <c r="A74" s="39">
        <v>46107.0</v>
      </c>
      <c r="B74" s="4" t="s">
        <v>90</v>
      </c>
      <c r="C74" s="21">
        <v>13.0</v>
      </c>
      <c r="E74" s="19"/>
      <c r="F74" s="5"/>
      <c r="H74" s="19"/>
      <c r="Q74" s="5"/>
      <c r="R74" s="9"/>
    </row>
    <row r="75">
      <c r="A75" s="39">
        <v>46107.0</v>
      </c>
      <c r="B75" s="4" t="s">
        <v>88</v>
      </c>
      <c r="C75" s="21">
        <v>9.0</v>
      </c>
      <c r="E75" s="19"/>
      <c r="F75" s="5"/>
      <c r="H75" s="19"/>
      <c r="Q75" s="5"/>
      <c r="R75" s="9"/>
    </row>
    <row r="76">
      <c r="A76" s="39">
        <v>46107.0</v>
      </c>
      <c r="B76" s="4" t="s">
        <v>76</v>
      </c>
      <c r="C76" s="21">
        <v>1.0</v>
      </c>
      <c r="E76" s="19"/>
      <c r="F76" s="5"/>
      <c r="H76" s="19"/>
      <c r="Q76" s="5"/>
      <c r="R76" s="9"/>
    </row>
    <row r="77">
      <c r="A77" s="39">
        <v>46108.0</v>
      </c>
      <c r="B77" s="4" t="s">
        <v>47</v>
      </c>
      <c r="C77" s="21">
        <v>27.0</v>
      </c>
      <c r="E77" s="19"/>
      <c r="F77" s="5"/>
      <c r="H77" s="19"/>
      <c r="Q77" s="5"/>
      <c r="R77" s="9"/>
    </row>
    <row r="78">
      <c r="A78" s="39">
        <v>46108.0</v>
      </c>
      <c r="B78" s="4" t="s">
        <v>66</v>
      </c>
      <c r="C78" s="21">
        <v>15.0</v>
      </c>
      <c r="E78" s="19"/>
      <c r="F78" s="5"/>
      <c r="H78" s="19"/>
      <c r="Q78" s="5"/>
      <c r="R78" s="9"/>
    </row>
    <row r="79">
      <c r="A79" s="39">
        <v>46108.0</v>
      </c>
      <c r="B79" s="4" t="s">
        <v>45</v>
      </c>
      <c r="C79" s="21">
        <v>20.0</v>
      </c>
      <c r="E79" s="19"/>
      <c r="F79" s="5"/>
      <c r="H79" s="19"/>
      <c r="Q79" s="5"/>
      <c r="R79" s="9"/>
    </row>
    <row r="80">
      <c r="A80" s="39">
        <v>46108.0</v>
      </c>
      <c r="B80" s="4" t="s">
        <v>88</v>
      </c>
      <c r="C80" s="21">
        <v>11.0</v>
      </c>
      <c r="E80" s="19"/>
      <c r="F80" s="5"/>
      <c r="H80" s="19"/>
      <c r="Q80" s="5"/>
      <c r="R80" s="9"/>
    </row>
    <row r="81">
      <c r="A81" s="39">
        <v>46109.0</v>
      </c>
      <c r="B81" s="4" t="s">
        <v>66</v>
      </c>
      <c r="C81" s="21">
        <v>5.0</v>
      </c>
      <c r="E81" s="19"/>
      <c r="F81" s="5"/>
      <c r="H81" s="19"/>
      <c r="Q81" s="5"/>
      <c r="R81" s="9"/>
    </row>
    <row r="82">
      <c r="A82" s="39">
        <v>46109.0</v>
      </c>
      <c r="B82" s="4" t="s">
        <v>88</v>
      </c>
      <c r="C82" s="21">
        <v>6.0</v>
      </c>
      <c r="E82" s="19"/>
      <c r="F82" s="5"/>
      <c r="H82" s="19"/>
      <c r="Q82" s="5"/>
      <c r="R82" s="9"/>
    </row>
    <row r="83">
      <c r="A83" s="39">
        <v>46109.0</v>
      </c>
      <c r="B83" s="4" t="s">
        <v>100</v>
      </c>
      <c r="C83" s="21">
        <v>4.0</v>
      </c>
      <c r="E83" s="19"/>
      <c r="F83" s="5"/>
      <c r="H83" s="19"/>
      <c r="Q83" s="5"/>
      <c r="R83" s="9"/>
    </row>
    <row r="84">
      <c r="A84" s="39">
        <v>46110.0</v>
      </c>
      <c r="B84" s="4" t="s">
        <v>52</v>
      </c>
      <c r="C84" s="21">
        <v>19.0</v>
      </c>
      <c r="E84" s="19"/>
      <c r="F84" s="5"/>
      <c r="H84" s="19"/>
      <c r="Q84" s="5"/>
      <c r="R84" s="9"/>
    </row>
    <row r="85">
      <c r="A85" s="39">
        <v>46110.0</v>
      </c>
      <c r="B85" s="4" t="s">
        <v>57</v>
      </c>
      <c r="C85" s="21">
        <v>3.0</v>
      </c>
      <c r="E85" s="19"/>
      <c r="F85" s="5"/>
      <c r="H85" s="19"/>
      <c r="Q85" s="5"/>
      <c r="R85" s="9"/>
    </row>
    <row r="86">
      <c r="A86" s="39">
        <v>46111.0</v>
      </c>
      <c r="B86" s="4" t="s">
        <v>125</v>
      </c>
      <c r="C86" s="21">
        <v>12.0</v>
      </c>
      <c r="E86" s="19"/>
      <c r="F86" s="5"/>
      <c r="H86" s="19"/>
      <c r="Q86" s="5"/>
      <c r="R86" s="9"/>
    </row>
    <row r="87">
      <c r="A87" s="39">
        <v>46112.0</v>
      </c>
      <c r="B87" s="4" t="s">
        <v>69</v>
      </c>
      <c r="C87" s="21">
        <v>7.0</v>
      </c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123</v>
      </c>
      <c r="G1" s="28"/>
      <c r="H1" s="1" t="s">
        <v>46</v>
      </c>
      <c r="I1" s="5">
        <f>I6-I7</f>
        <v>-110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170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46054.0</v>
      </c>
      <c r="B2" s="4" t="s">
        <v>8</v>
      </c>
      <c r="C2" s="21">
        <v>800.0</v>
      </c>
      <c r="E2" s="1" t="s">
        <v>52</v>
      </c>
      <c r="F2" s="5">
        <f t="shared" si="1"/>
        <v>29</v>
      </c>
      <c r="G2" s="28"/>
      <c r="H2" s="1" t="s">
        <v>6</v>
      </c>
      <c r="I2" s="5">
        <f>SUMIF(B:B,H2,C:C)</f>
        <v>700</v>
      </c>
      <c r="K2" s="1" t="s">
        <v>53</v>
      </c>
      <c r="L2" s="5">
        <f t="shared" si="2"/>
        <v>0</v>
      </c>
      <c r="N2" s="39">
        <v>46054.0</v>
      </c>
      <c r="O2" s="5">
        <f>sumif(A:A,N2,C:C)-sum(C2:C4)</f>
        <v>251</v>
      </c>
      <c r="P2" s="5">
        <f>SUM(O2)</f>
        <v>251</v>
      </c>
      <c r="Q2" s="5">
        <f t="shared" ref="Q2:Q29" si="3">P2/(ROW()-1)</f>
        <v>251</v>
      </c>
      <c r="R2" s="9">
        <f t="shared" ref="R2:R29" si="4">count(N:N)*Q2</f>
        <v>7028</v>
      </c>
      <c r="T2" s="9"/>
      <c r="U2" s="9"/>
    </row>
    <row r="3">
      <c r="A3" s="39">
        <v>46054.0</v>
      </c>
      <c r="B3" s="4" t="s">
        <v>54</v>
      </c>
      <c r="C3" s="41">
        <v>966.0</v>
      </c>
      <c r="E3" s="1" t="s">
        <v>55</v>
      </c>
      <c r="F3" s="5">
        <f t="shared" si="1"/>
        <v>97</v>
      </c>
      <c r="G3" s="28"/>
      <c r="H3" s="1" t="s">
        <v>8</v>
      </c>
      <c r="I3" s="5">
        <f>SUMIF(B:B,H3,C:C)+I1</f>
        <v>690</v>
      </c>
      <c r="K3" s="1" t="s">
        <v>56</v>
      </c>
      <c r="L3" s="5">
        <f t="shared" si="2"/>
        <v>0</v>
      </c>
      <c r="N3" s="39">
        <v>46055.0</v>
      </c>
      <c r="O3" s="40">
        <f t="shared" ref="O3:O29" si="5">sumif(A:A,N3,C:C)</f>
        <v>14</v>
      </c>
      <c r="P3" s="5">
        <f t="shared" ref="P3:P29" si="6">P2+O3</f>
        <v>265</v>
      </c>
      <c r="Q3" s="5">
        <f t="shared" si="3"/>
        <v>132.5</v>
      </c>
      <c r="R3" s="9">
        <f t="shared" si="4"/>
        <v>3710</v>
      </c>
    </row>
    <row r="4">
      <c r="A4" s="39">
        <v>46054.0</v>
      </c>
      <c r="B4" s="4" t="s">
        <v>6</v>
      </c>
      <c r="C4" s="21">
        <v>700.0</v>
      </c>
      <c r="E4" s="1" t="s">
        <v>57</v>
      </c>
      <c r="F4" s="5">
        <f>SUMIF(B:B,"*"&amp;E4&amp;"*",C:C)+SUM(L1:L7)</f>
        <v>359</v>
      </c>
      <c r="G4" s="28"/>
      <c r="H4" s="1" t="s">
        <v>58</v>
      </c>
      <c r="I4" s="5">
        <f>I2+I3</f>
        <v>1390</v>
      </c>
      <c r="K4" s="1" t="s">
        <v>59</v>
      </c>
      <c r="L4" s="5">
        <f t="shared" si="2"/>
        <v>74</v>
      </c>
      <c r="N4" s="39">
        <v>46056.0</v>
      </c>
      <c r="O4" s="40">
        <f t="shared" si="5"/>
        <v>0</v>
      </c>
      <c r="P4" s="5">
        <f t="shared" si="6"/>
        <v>265</v>
      </c>
      <c r="Q4" s="5">
        <f t="shared" si="3"/>
        <v>88.33333333</v>
      </c>
      <c r="R4" s="9">
        <f t="shared" si="4"/>
        <v>2473.333333</v>
      </c>
    </row>
    <row r="5">
      <c r="A5" s="39">
        <v>46054.0</v>
      </c>
      <c r="B5" s="4" t="s">
        <v>63</v>
      </c>
      <c r="C5" s="21">
        <v>7.0</v>
      </c>
      <c r="E5" s="42" t="s">
        <v>61</v>
      </c>
      <c r="F5" s="5">
        <f t="shared" ref="F5:F12" si="7">SUMIF(B:B,"*"&amp;E5&amp;"*",C:C)</f>
        <v>56</v>
      </c>
      <c r="G5" s="28"/>
      <c r="K5" s="1" t="s">
        <v>62</v>
      </c>
      <c r="L5" s="5">
        <f t="shared" si="2"/>
        <v>16</v>
      </c>
      <c r="N5" s="39">
        <v>46057.0</v>
      </c>
      <c r="O5" s="40">
        <f t="shared" si="5"/>
        <v>14</v>
      </c>
      <c r="P5" s="5">
        <f t="shared" si="6"/>
        <v>279</v>
      </c>
      <c r="Q5" s="5">
        <f t="shared" si="3"/>
        <v>69.75</v>
      </c>
      <c r="R5" s="9">
        <f t="shared" si="4"/>
        <v>1953</v>
      </c>
    </row>
    <row r="6">
      <c r="A6" s="39">
        <v>46054.0</v>
      </c>
      <c r="B6" s="4" t="s">
        <v>67</v>
      </c>
      <c r="C6" s="21">
        <v>22.0</v>
      </c>
      <c r="E6" s="1" t="s">
        <v>64</v>
      </c>
      <c r="F6" s="5">
        <f t="shared" si="7"/>
        <v>0</v>
      </c>
      <c r="G6" s="28"/>
      <c r="H6" s="1" t="s">
        <v>65</v>
      </c>
      <c r="I6" s="21">
        <v>3481.0</v>
      </c>
      <c r="K6" s="1" t="s">
        <v>66</v>
      </c>
      <c r="L6" s="5">
        <f t="shared" si="2"/>
        <v>76</v>
      </c>
      <c r="N6" s="39">
        <v>46058.0</v>
      </c>
      <c r="O6" s="40">
        <f t="shared" si="5"/>
        <v>36</v>
      </c>
      <c r="P6" s="5">
        <f t="shared" si="6"/>
        <v>315</v>
      </c>
      <c r="Q6" s="5">
        <f t="shared" si="3"/>
        <v>63</v>
      </c>
      <c r="R6" s="9">
        <f t="shared" si="4"/>
        <v>1764</v>
      </c>
    </row>
    <row r="7">
      <c r="A7" s="39">
        <v>46054.0</v>
      </c>
      <c r="B7" s="4" t="s">
        <v>70</v>
      </c>
      <c r="C7" s="21">
        <v>9.0</v>
      </c>
      <c r="E7" s="1" t="s">
        <v>54</v>
      </c>
      <c r="F7" s="5">
        <f t="shared" si="7"/>
        <v>973</v>
      </c>
      <c r="G7" s="28"/>
      <c r="H7" s="1" t="s">
        <v>68</v>
      </c>
      <c r="I7" s="5">
        <f>sum(C:C)</f>
        <v>3591</v>
      </c>
      <c r="K7" s="1" t="s">
        <v>69</v>
      </c>
      <c r="L7" s="5">
        <f t="shared" si="2"/>
        <v>0</v>
      </c>
      <c r="N7" s="39">
        <v>46059.0</v>
      </c>
      <c r="O7" s="40">
        <f t="shared" si="5"/>
        <v>5</v>
      </c>
      <c r="P7" s="5">
        <f t="shared" si="6"/>
        <v>320</v>
      </c>
      <c r="Q7" s="5">
        <f t="shared" si="3"/>
        <v>53.33333333</v>
      </c>
      <c r="R7" s="9">
        <f t="shared" si="4"/>
        <v>1493.333333</v>
      </c>
    </row>
    <row r="8">
      <c r="A8" s="39">
        <v>46054.0</v>
      </c>
      <c r="B8" s="4" t="s">
        <v>126</v>
      </c>
      <c r="C8" s="21">
        <f>((495+75)/3)</f>
        <v>190</v>
      </c>
      <c r="E8" s="1" t="s">
        <v>127</v>
      </c>
      <c r="F8" s="5">
        <f t="shared" si="7"/>
        <v>50</v>
      </c>
      <c r="G8" s="28"/>
      <c r="H8" s="1" t="s">
        <v>72</v>
      </c>
      <c r="I8" s="5">
        <f>sum(F:F)+I2+C2</f>
        <v>3265</v>
      </c>
      <c r="N8" s="39">
        <v>46060.0</v>
      </c>
      <c r="O8" s="40">
        <f t="shared" si="5"/>
        <v>64</v>
      </c>
      <c r="P8" s="5">
        <f t="shared" si="6"/>
        <v>384</v>
      </c>
      <c r="Q8" s="5">
        <f t="shared" si="3"/>
        <v>54.85714286</v>
      </c>
      <c r="R8" s="9">
        <f t="shared" si="4"/>
        <v>1536</v>
      </c>
    </row>
    <row r="9">
      <c r="A9" s="39">
        <v>46054.0</v>
      </c>
      <c r="B9" s="4" t="s">
        <v>52</v>
      </c>
      <c r="C9" s="21">
        <v>23.0</v>
      </c>
      <c r="E9" s="1" t="s">
        <v>73</v>
      </c>
      <c r="F9" s="5">
        <f t="shared" si="7"/>
        <v>56</v>
      </c>
      <c r="G9" s="28"/>
      <c r="H9" s="1" t="s">
        <v>74</v>
      </c>
      <c r="I9" s="5">
        <f>I7-I8</f>
        <v>326</v>
      </c>
      <c r="N9" s="39">
        <v>46061.0</v>
      </c>
      <c r="O9" s="40">
        <f t="shared" si="5"/>
        <v>28</v>
      </c>
      <c r="P9" s="5">
        <f t="shared" si="6"/>
        <v>412</v>
      </c>
      <c r="Q9" s="5">
        <f t="shared" si="3"/>
        <v>51.5</v>
      </c>
      <c r="R9" s="9">
        <f t="shared" si="4"/>
        <v>1442</v>
      </c>
    </row>
    <row r="10">
      <c r="A10" s="39">
        <v>46055.0</v>
      </c>
      <c r="B10" s="4" t="s">
        <v>47</v>
      </c>
      <c r="C10" s="21">
        <v>14.0</v>
      </c>
      <c r="E10" s="1" t="s">
        <v>75</v>
      </c>
      <c r="F10" s="5">
        <f t="shared" si="7"/>
        <v>22</v>
      </c>
      <c r="G10" s="28"/>
      <c r="N10" s="39">
        <v>46062.0</v>
      </c>
      <c r="O10" s="40">
        <f t="shared" si="5"/>
        <v>11</v>
      </c>
      <c r="P10" s="5">
        <f t="shared" si="6"/>
        <v>423</v>
      </c>
      <c r="Q10" s="5">
        <f t="shared" si="3"/>
        <v>47</v>
      </c>
      <c r="R10" s="9">
        <f t="shared" si="4"/>
        <v>1316</v>
      </c>
    </row>
    <row r="11">
      <c r="A11" s="39">
        <v>46057.0</v>
      </c>
      <c r="B11" s="4" t="s">
        <v>128</v>
      </c>
      <c r="C11" s="21">
        <v>1.0</v>
      </c>
      <c r="E11" s="1" t="s">
        <v>76</v>
      </c>
      <c r="F11" s="5">
        <f t="shared" si="7"/>
        <v>0</v>
      </c>
      <c r="G11" s="28"/>
      <c r="H11" s="1" t="s">
        <v>3</v>
      </c>
      <c r="I11" s="28">
        <f>I4/I6</f>
        <v>0.3993105429</v>
      </c>
      <c r="N11" s="39">
        <v>46063.0</v>
      </c>
      <c r="O11" s="40">
        <f t="shared" si="5"/>
        <v>28</v>
      </c>
      <c r="P11" s="5">
        <f t="shared" si="6"/>
        <v>451</v>
      </c>
      <c r="Q11" s="5">
        <f t="shared" si="3"/>
        <v>45.1</v>
      </c>
      <c r="R11" s="9">
        <f t="shared" si="4"/>
        <v>1262.8</v>
      </c>
    </row>
    <row r="12">
      <c r="A12" s="39">
        <v>46057.0</v>
      </c>
      <c r="B12" s="4" t="s">
        <v>47</v>
      </c>
      <c r="C12" s="21">
        <v>13.0</v>
      </c>
      <c r="E12" s="1" t="s">
        <v>77</v>
      </c>
      <c r="F12" s="5">
        <f t="shared" si="7"/>
        <v>0</v>
      </c>
      <c r="G12" s="28"/>
      <c r="N12" s="39">
        <v>46064.0</v>
      </c>
      <c r="O12" s="40">
        <f t="shared" si="5"/>
        <v>36</v>
      </c>
      <c r="P12" s="5">
        <f t="shared" si="6"/>
        <v>487</v>
      </c>
      <c r="Q12" s="5">
        <f t="shared" si="3"/>
        <v>44.27272727</v>
      </c>
      <c r="R12" s="9">
        <f t="shared" si="4"/>
        <v>1239.636364</v>
      </c>
    </row>
    <row r="13">
      <c r="A13" s="39">
        <v>46058.0</v>
      </c>
      <c r="B13" s="4" t="s">
        <v>90</v>
      </c>
      <c r="C13" s="21">
        <v>11.0</v>
      </c>
      <c r="E13" s="1"/>
      <c r="F13" s="5"/>
      <c r="N13" s="39">
        <v>46065.0</v>
      </c>
      <c r="O13" s="40">
        <f t="shared" si="5"/>
        <v>78</v>
      </c>
      <c r="P13" s="5">
        <f t="shared" si="6"/>
        <v>565</v>
      </c>
      <c r="Q13" s="5">
        <f t="shared" si="3"/>
        <v>47.08333333</v>
      </c>
      <c r="R13" s="9">
        <f t="shared" si="4"/>
        <v>1318.333333</v>
      </c>
    </row>
    <row r="14">
      <c r="A14" s="39">
        <v>46058.0</v>
      </c>
      <c r="B14" s="4" t="s">
        <v>47</v>
      </c>
      <c r="C14" s="21">
        <v>18.0</v>
      </c>
      <c r="E14" s="1"/>
      <c r="F14" s="5"/>
      <c r="H14" s="19"/>
      <c r="N14" s="39">
        <v>46066.0</v>
      </c>
      <c r="O14" s="40">
        <f t="shared" si="5"/>
        <v>17</v>
      </c>
      <c r="P14" s="5">
        <f t="shared" si="6"/>
        <v>582</v>
      </c>
      <c r="Q14" s="5">
        <f t="shared" si="3"/>
        <v>44.76923077</v>
      </c>
      <c r="R14" s="9">
        <f t="shared" si="4"/>
        <v>1253.538462</v>
      </c>
    </row>
    <row r="15">
      <c r="A15" s="39">
        <v>46058.0</v>
      </c>
      <c r="B15" s="4" t="s">
        <v>127</v>
      </c>
      <c r="C15" s="21">
        <v>7.0</v>
      </c>
      <c r="E15" s="1"/>
      <c r="H15" s="1"/>
      <c r="N15" s="39">
        <v>46067.0</v>
      </c>
      <c r="O15" s="40">
        <f t="shared" si="5"/>
        <v>57</v>
      </c>
      <c r="P15" s="5">
        <f t="shared" si="6"/>
        <v>639</v>
      </c>
      <c r="Q15" s="5">
        <f t="shared" si="3"/>
        <v>45.64285714</v>
      </c>
      <c r="R15" s="9">
        <f t="shared" si="4"/>
        <v>1278</v>
      </c>
    </row>
    <row r="16">
      <c r="A16" s="39">
        <v>46059.0</v>
      </c>
      <c r="B16" s="4" t="s">
        <v>59</v>
      </c>
      <c r="C16" s="21">
        <v>5.0</v>
      </c>
      <c r="H16" s="19"/>
      <c r="N16" s="39">
        <v>46068.0</v>
      </c>
      <c r="O16" s="40">
        <f t="shared" si="5"/>
        <v>13</v>
      </c>
      <c r="P16" s="5">
        <f t="shared" si="6"/>
        <v>652</v>
      </c>
      <c r="Q16" s="5">
        <f t="shared" si="3"/>
        <v>43.46666667</v>
      </c>
      <c r="R16" s="9">
        <f t="shared" si="4"/>
        <v>1217.066667</v>
      </c>
    </row>
    <row r="17">
      <c r="A17" s="39">
        <v>46060.0</v>
      </c>
      <c r="B17" s="4" t="s">
        <v>84</v>
      </c>
      <c r="C17" s="21">
        <v>12.0</v>
      </c>
      <c r="H17" s="19"/>
      <c r="N17" s="39">
        <v>46069.0</v>
      </c>
      <c r="O17" s="40">
        <f t="shared" si="5"/>
        <v>33</v>
      </c>
      <c r="P17" s="5">
        <f t="shared" si="6"/>
        <v>685</v>
      </c>
      <c r="Q17" s="5">
        <f t="shared" si="3"/>
        <v>42.8125</v>
      </c>
      <c r="R17" s="9">
        <f t="shared" si="4"/>
        <v>1198.75</v>
      </c>
    </row>
    <row r="18">
      <c r="A18" s="39">
        <v>46060.0</v>
      </c>
      <c r="B18" s="4" t="s">
        <v>52</v>
      </c>
      <c r="C18" s="21">
        <v>6.0</v>
      </c>
      <c r="H18" s="19"/>
      <c r="N18" s="39">
        <v>46070.0</v>
      </c>
      <c r="O18" s="40">
        <f t="shared" si="5"/>
        <v>8</v>
      </c>
      <c r="P18" s="5">
        <f t="shared" si="6"/>
        <v>693</v>
      </c>
      <c r="Q18" s="5">
        <f t="shared" si="3"/>
        <v>40.76470588</v>
      </c>
      <c r="R18" s="9">
        <f t="shared" si="4"/>
        <v>1141.411765</v>
      </c>
    </row>
    <row r="19">
      <c r="A19" s="39">
        <v>46060.0</v>
      </c>
      <c r="B19" s="4" t="s">
        <v>45</v>
      </c>
      <c r="C19" s="21">
        <v>12.0</v>
      </c>
      <c r="H19" s="19"/>
      <c r="N19" s="39">
        <v>46071.0</v>
      </c>
      <c r="O19" s="40">
        <f t="shared" si="5"/>
        <v>80</v>
      </c>
      <c r="P19" s="5">
        <f t="shared" si="6"/>
        <v>773</v>
      </c>
      <c r="Q19" s="5">
        <f t="shared" si="3"/>
        <v>42.94444444</v>
      </c>
      <c r="R19" s="9">
        <f t="shared" si="4"/>
        <v>1202.444444</v>
      </c>
    </row>
    <row r="20">
      <c r="A20" s="39">
        <v>46060.0</v>
      </c>
      <c r="B20" s="4" t="s">
        <v>73</v>
      </c>
      <c r="C20" s="21">
        <v>8.0</v>
      </c>
      <c r="H20" s="19"/>
      <c r="N20" s="39">
        <v>46072.0</v>
      </c>
      <c r="O20" s="40">
        <f t="shared" si="5"/>
        <v>50</v>
      </c>
      <c r="P20" s="5">
        <f t="shared" si="6"/>
        <v>823</v>
      </c>
      <c r="Q20" s="5">
        <f t="shared" si="3"/>
        <v>43.31578947</v>
      </c>
      <c r="R20" s="9">
        <f t="shared" si="4"/>
        <v>1212.842105</v>
      </c>
    </row>
    <row r="21">
      <c r="A21" s="39">
        <v>46060.0</v>
      </c>
      <c r="B21" s="4" t="s">
        <v>73</v>
      </c>
      <c r="C21" s="21">
        <v>13.0</v>
      </c>
      <c r="E21" s="19"/>
      <c r="F21" s="5"/>
      <c r="H21" s="19"/>
      <c r="N21" s="39">
        <v>46073.0</v>
      </c>
      <c r="O21" s="40">
        <f t="shared" si="5"/>
        <v>68</v>
      </c>
      <c r="P21" s="5">
        <f t="shared" si="6"/>
        <v>891</v>
      </c>
      <c r="Q21" s="5">
        <f t="shared" si="3"/>
        <v>44.55</v>
      </c>
      <c r="R21" s="9">
        <f t="shared" si="4"/>
        <v>1247.4</v>
      </c>
    </row>
    <row r="22">
      <c r="A22" s="39">
        <v>46060.0</v>
      </c>
      <c r="B22" s="4" t="s">
        <v>129</v>
      </c>
      <c r="C22" s="21">
        <v>10.0</v>
      </c>
      <c r="E22" s="19"/>
      <c r="F22" s="5"/>
      <c r="H22" s="19"/>
      <c r="N22" s="39">
        <v>46074.0</v>
      </c>
      <c r="O22" s="40">
        <f t="shared" si="5"/>
        <v>62</v>
      </c>
      <c r="P22" s="5">
        <f t="shared" si="6"/>
        <v>953</v>
      </c>
      <c r="Q22" s="5">
        <f t="shared" si="3"/>
        <v>45.38095238</v>
      </c>
      <c r="R22" s="9">
        <f t="shared" si="4"/>
        <v>1270.666667</v>
      </c>
    </row>
    <row r="23">
      <c r="A23" s="39">
        <v>46060.0</v>
      </c>
      <c r="B23" s="4" t="s">
        <v>127</v>
      </c>
      <c r="C23" s="21">
        <v>3.0</v>
      </c>
      <c r="E23" s="19"/>
      <c r="F23" s="5"/>
      <c r="H23" s="19"/>
      <c r="N23" s="39">
        <v>46075.0</v>
      </c>
      <c r="O23" s="40">
        <f t="shared" si="5"/>
        <v>10</v>
      </c>
      <c r="P23" s="5">
        <f t="shared" si="6"/>
        <v>963</v>
      </c>
      <c r="Q23" s="5">
        <f t="shared" si="3"/>
        <v>43.77272727</v>
      </c>
      <c r="R23" s="9">
        <f t="shared" si="4"/>
        <v>1225.636364</v>
      </c>
    </row>
    <row r="24">
      <c r="A24" s="39">
        <v>46061.0</v>
      </c>
      <c r="B24" s="4" t="s">
        <v>100</v>
      </c>
      <c r="C24" s="21">
        <v>10.0</v>
      </c>
      <c r="F24" s="5"/>
      <c r="H24" s="19"/>
      <c r="N24" s="39">
        <v>46076.0</v>
      </c>
      <c r="O24" s="40">
        <f t="shared" si="5"/>
        <v>9</v>
      </c>
      <c r="P24" s="5">
        <f t="shared" si="6"/>
        <v>972</v>
      </c>
      <c r="Q24" s="5">
        <f t="shared" si="3"/>
        <v>42.26086957</v>
      </c>
      <c r="R24" s="9">
        <f t="shared" si="4"/>
        <v>1183.304348</v>
      </c>
    </row>
    <row r="25">
      <c r="A25" s="39">
        <v>46061.0</v>
      </c>
      <c r="B25" s="4" t="s">
        <v>105</v>
      </c>
      <c r="C25" s="21">
        <v>18.0</v>
      </c>
      <c r="F25" s="5"/>
      <c r="H25" s="19"/>
      <c r="N25" s="39">
        <v>46077.0</v>
      </c>
      <c r="O25" s="40">
        <f t="shared" si="5"/>
        <v>10</v>
      </c>
      <c r="P25" s="5">
        <f t="shared" si="6"/>
        <v>982</v>
      </c>
      <c r="Q25" s="5">
        <f t="shared" si="3"/>
        <v>40.91666667</v>
      </c>
      <c r="R25" s="9">
        <f t="shared" si="4"/>
        <v>1145.666667</v>
      </c>
    </row>
    <row r="26">
      <c r="A26" s="39">
        <v>46062.0</v>
      </c>
      <c r="B26" s="4" t="s">
        <v>66</v>
      </c>
      <c r="C26" s="21">
        <v>7.0</v>
      </c>
      <c r="F26" s="5"/>
      <c r="H26" s="19"/>
      <c r="N26" s="39">
        <v>46078.0</v>
      </c>
      <c r="O26" s="40">
        <f t="shared" si="5"/>
        <v>11</v>
      </c>
      <c r="P26" s="5">
        <f t="shared" si="6"/>
        <v>993</v>
      </c>
      <c r="Q26" s="5">
        <f t="shared" si="3"/>
        <v>39.72</v>
      </c>
      <c r="R26" s="9">
        <f t="shared" si="4"/>
        <v>1112.16</v>
      </c>
    </row>
    <row r="27">
      <c r="A27" s="39">
        <v>46062.0</v>
      </c>
      <c r="B27" s="4" t="s">
        <v>82</v>
      </c>
      <c r="C27" s="21">
        <v>4.0</v>
      </c>
      <c r="F27" s="5"/>
      <c r="H27" s="19"/>
      <c r="N27" s="39">
        <v>46079.0</v>
      </c>
      <c r="O27" s="40">
        <f t="shared" si="5"/>
        <v>32</v>
      </c>
      <c r="P27" s="5">
        <f t="shared" si="6"/>
        <v>1025</v>
      </c>
      <c r="Q27" s="5">
        <f t="shared" si="3"/>
        <v>39.42307692</v>
      </c>
      <c r="R27" s="9">
        <f t="shared" si="4"/>
        <v>1103.846154</v>
      </c>
    </row>
    <row r="28">
      <c r="A28" s="39">
        <v>46063.0</v>
      </c>
      <c r="B28" s="4" t="s">
        <v>47</v>
      </c>
      <c r="C28" s="21">
        <v>24.0</v>
      </c>
      <c r="F28" s="5"/>
      <c r="H28" s="19"/>
      <c r="N28" s="39">
        <v>46080.0</v>
      </c>
      <c r="O28" s="40">
        <f t="shared" si="5"/>
        <v>34</v>
      </c>
      <c r="P28" s="5">
        <f t="shared" si="6"/>
        <v>1059</v>
      </c>
      <c r="Q28" s="5">
        <f t="shared" si="3"/>
        <v>39.22222222</v>
      </c>
      <c r="R28" s="9">
        <f t="shared" si="4"/>
        <v>1098.222222</v>
      </c>
    </row>
    <row r="29">
      <c r="A29" s="39">
        <v>46063.0</v>
      </c>
      <c r="B29" s="4" t="s">
        <v>57</v>
      </c>
      <c r="C29" s="21">
        <v>4.0</v>
      </c>
      <c r="F29" s="5"/>
      <c r="H29" s="19"/>
      <c r="N29" s="39">
        <v>46081.0</v>
      </c>
      <c r="O29" s="40">
        <f t="shared" si="5"/>
        <v>66</v>
      </c>
      <c r="P29" s="5">
        <f t="shared" si="6"/>
        <v>1125</v>
      </c>
      <c r="Q29" s="5">
        <f t="shared" si="3"/>
        <v>40.17857143</v>
      </c>
      <c r="R29" s="9">
        <f t="shared" si="4"/>
        <v>1125</v>
      </c>
    </row>
    <row r="30">
      <c r="A30" s="39">
        <v>46064.0</v>
      </c>
      <c r="B30" s="4" t="s">
        <v>110</v>
      </c>
      <c r="C30" s="21">
        <v>36.0</v>
      </c>
      <c r="F30" s="5"/>
      <c r="H30" s="19"/>
      <c r="N30" s="39"/>
      <c r="Q30" s="5"/>
      <c r="R30" s="9"/>
    </row>
    <row r="31">
      <c r="A31" s="39">
        <v>46065.0</v>
      </c>
      <c r="B31" s="4" t="s">
        <v>95</v>
      </c>
      <c r="C31" s="21">
        <v>4.0</v>
      </c>
      <c r="E31" s="19"/>
      <c r="F31" s="5"/>
      <c r="H31" s="19"/>
      <c r="N31" s="39"/>
      <c r="Q31" s="5"/>
      <c r="R31" s="9"/>
    </row>
    <row r="32">
      <c r="A32" s="39">
        <v>46065.0</v>
      </c>
      <c r="B32" s="4" t="s">
        <v>90</v>
      </c>
      <c r="C32" s="21">
        <v>11.0</v>
      </c>
      <c r="E32" s="19"/>
      <c r="F32" s="5"/>
      <c r="H32" s="19"/>
      <c r="N32" s="39"/>
      <c r="Q32" s="5"/>
      <c r="R32" s="9"/>
    </row>
    <row r="33">
      <c r="A33" s="39">
        <v>46065.0</v>
      </c>
      <c r="B33" s="4" t="s">
        <v>62</v>
      </c>
      <c r="C33" s="21">
        <v>2.0</v>
      </c>
      <c r="E33" s="19"/>
      <c r="F33" s="5"/>
      <c r="H33" s="19"/>
      <c r="N33" s="39"/>
      <c r="Q33" s="5"/>
      <c r="R33" s="9"/>
    </row>
    <row r="34">
      <c r="A34" s="39">
        <v>46065.0</v>
      </c>
      <c r="B34" s="4" t="s">
        <v>93</v>
      </c>
      <c r="C34" s="21">
        <v>37.0</v>
      </c>
      <c r="E34" s="19"/>
      <c r="F34" s="5"/>
      <c r="H34" s="19"/>
      <c r="Q34" s="5"/>
      <c r="R34" s="9"/>
    </row>
    <row r="35">
      <c r="A35" s="39">
        <v>46065.0</v>
      </c>
      <c r="B35" s="4" t="s">
        <v>45</v>
      </c>
      <c r="C35" s="21">
        <v>15.0</v>
      </c>
      <c r="E35" s="19"/>
      <c r="F35" s="5"/>
      <c r="H35" s="19"/>
      <c r="Q35" s="5"/>
      <c r="R35" s="9"/>
    </row>
    <row r="36">
      <c r="A36" s="39">
        <v>46065.0</v>
      </c>
      <c r="B36" s="4" t="s">
        <v>127</v>
      </c>
      <c r="C36" s="21">
        <v>9.0</v>
      </c>
      <c r="E36" s="19"/>
      <c r="F36" s="5"/>
      <c r="H36" s="19"/>
      <c r="Q36" s="5"/>
      <c r="R36" s="9"/>
    </row>
    <row r="37">
      <c r="A37" s="39">
        <v>46066.0</v>
      </c>
      <c r="B37" s="4" t="s">
        <v>57</v>
      </c>
      <c r="C37" s="21">
        <v>8.0</v>
      </c>
      <c r="E37" s="19"/>
      <c r="F37" s="5"/>
      <c r="H37" s="19"/>
      <c r="Q37" s="5"/>
      <c r="R37" s="9"/>
    </row>
    <row r="38">
      <c r="A38" s="39">
        <v>46066.0</v>
      </c>
      <c r="B38" s="4" t="s">
        <v>127</v>
      </c>
      <c r="C38" s="21">
        <v>7.0</v>
      </c>
      <c r="E38" s="19"/>
      <c r="F38" s="5"/>
      <c r="H38" s="19"/>
      <c r="Q38" s="5"/>
      <c r="R38" s="9"/>
    </row>
    <row r="39">
      <c r="A39" s="39">
        <v>46066.0</v>
      </c>
      <c r="B39" s="4" t="s">
        <v>66</v>
      </c>
      <c r="C39" s="21">
        <v>2.0</v>
      </c>
      <c r="E39" s="19"/>
      <c r="F39" s="5"/>
      <c r="H39" s="19"/>
      <c r="Q39" s="5"/>
      <c r="R39" s="9"/>
    </row>
    <row r="40">
      <c r="A40" s="39">
        <v>46067.0</v>
      </c>
      <c r="B40" s="4" t="s">
        <v>130</v>
      </c>
      <c r="C40" s="21">
        <v>27.0</v>
      </c>
      <c r="E40" s="19"/>
      <c r="F40" s="5"/>
      <c r="H40" s="19"/>
      <c r="Q40" s="5"/>
      <c r="R40" s="9"/>
    </row>
    <row r="41">
      <c r="A41" s="39">
        <v>46067.0</v>
      </c>
      <c r="B41" s="4" t="s">
        <v>66</v>
      </c>
      <c r="C41" s="21">
        <v>30.0</v>
      </c>
      <c r="E41" s="19"/>
      <c r="F41" s="5"/>
      <c r="H41" s="19"/>
      <c r="Q41" s="5"/>
      <c r="R41" s="9"/>
    </row>
    <row r="42">
      <c r="A42" s="39">
        <v>46068.0</v>
      </c>
      <c r="B42" s="4" t="s">
        <v>47</v>
      </c>
      <c r="C42" s="21">
        <v>13.0</v>
      </c>
      <c r="E42" s="19"/>
      <c r="F42" s="5"/>
      <c r="H42" s="19"/>
      <c r="Q42" s="5"/>
      <c r="R42" s="9"/>
    </row>
    <row r="43">
      <c r="A43" s="39">
        <v>46069.0</v>
      </c>
      <c r="B43" s="4" t="s">
        <v>47</v>
      </c>
      <c r="C43" s="21">
        <v>13.0</v>
      </c>
      <c r="E43" s="19"/>
      <c r="F43" s="5"/>
      <c r="H43" s="19"/>
      <c r="Q43" s="5"/>
      <c r="R43" s="9"/>
    </row>
    <row r="44">
      <c r="A44" s="39">
        <v>46069.0</v>
      </c>
      <c r="B44" s="4" t="s">
        <v>57</v>
      </c>
      <c r="C44" s="21">
        <v>11.0</v>
      </c>
      <c r="E44" s="19"/>
      <c r="F44" s="5"/>
      <c r="H44" s="19"/>
      <c r="Q44" s="5"/>
      <c r="R44" s="9"/>
    </row>
    <row r="45">
      <c r="A45" s="39">
        <v>46069.0</v>
      </c>
      <c r="B45" s="4" t="s">
        <v>100</v>
      </c>
      <c r="C45" s="21">
        <v>9.0</v>
      </c>
      <c r="E45" s="19"/>
      <c r="F45" s="5"/>
      <c r="H45" s="19"/>
      <c r="Q45" s="5"/>
      <c r="R45" s="9"/>
    </row>
    <row r="46">
      <c r="A46" s="39">
        <v>46070.0</v>
      </c>
      <c r="B46" s="4" t="s">
        <v>47</v>
      </c>
      <c r="C46" s="21">
        <v>8.0</v>
      </c>
      <c r="E46" s="19"/>
      <c r="F46" s="5"/>
      <c r="H46" s="19"/>
      <c r="Q46" s="5"/>
      <c r="R46" s="9"/>
    </row>
    <row r="47">
      <c r="A47" s="39">
        <v>46071.0</v>
      </c>
      <c r="B47" s="4" t="s">
        <v>59</v>
      </c>
      <c r="C47" s="21">
        <f>35+31</f>
        <v>66</v>
      </c>
      <c r="E47" s="19"/>
      <c r="F47" s="5"/>
      <c r="H47" s="19"/>
      <c r="Q47" s="5"/>
      <c r="R47" s="9"/>
    </row>
    <row r="48">
      <c r="A48" s="39">
        <v>46071.0</v>
      </c>
      <c r="B48" s="4" t="s">
        <v>131</v>
      </c>
      <c r="C48" s="21">
        <v>14.0</v>
      </c>
      <c r="E48" s="19"/>
      <c r="F48" s="5"/>
      <c r="H48" s="19"/>
      <c r="Q48" s="5"/>
      <c r="R48" s="9"/>
    </row>
    <row r="49">
      <c r="A49" s="39">
        <v>46072.0</v>
      </c>
      <c r="B49" s="4" t="s">
        <v>108</v>
      </c>
      <c r="C49" s="21">
        <v>5.0</v>
      </c>
      <c r="E49" s="19"/>
      <c r="F49" s="5"/>
      <c r="H49" s="19"/>
      <c r="Q49" s="5"/>
      <c r="R49" s="9"/>
    </row>
    <row r="50">
      <c r="A50" s="39">
        <v>46072.0</v>
      </c>
      <c r="B50" s="4" t="s">
        <v>45</v>
      </c>
      <c r="C50" s="21">
        <v>15.0</v>
      </c>
      <c r="E50" s="19"/>
      <c r="F50" s="5"/>
      <c r="H50" s="19"/>
      <c r="Q50" s="5"/>
      <c r="R50" s="9"/>
    </row>
    <row r="51">
      <c r="A51" s="39">
        <v>46072.0</v>
      </c>
      <c r="B51" s="4" t="s">
        <v>90</v>
      </c>
      <c r="C51" s="21">
        <v>13.0</v>
      </c>
      <c r="E51" s="19"/>
      <c r="F51" s="5"/>
      <c r="H51" s="19"/>
      <c r="Q51" s="5"/>
      <c r="R51" s="9"/>
    </row>
    <row r="52">
      <c r="A52" s="39">
        <v>46072.0</v>
      </c>
      <c r="B52" s="4" t="s">
        <v>47</v>
      </c>
      <c r="C52" s="21">
        <v>10.0</v>
      </c>
      <c r="E52" s="19"/>
      <c r="F52" s="5"/>
      <c r="H52" s="19"/>
      <c r="Q52" s="5"/>
      <c r="R52" s="9"/>
    </row>
    <row r="53">
      <c r="A53" s="39">
        <v>46072.0</v>
      </c>
      <c r="B53" s="4" t="s">
        <v>127</v>
      </c>
      <c r="C53" s="21">
        <v>7.0</v>
      </c>
      <c r="E53" s="19"/>
      <c r="F53" s="5"/>
      <c r="H53" s="19"/>
      <c r="Q53" s="5"/>
      <c r="R53" s="9"/>
    </row>
    <row r="54">
      <c r="A54" s="39">
        <v>46073.0</v>
      </c>
      <c r="B54" s="4" t="s">
        <v>90</v>
      </c>
      <c r="C54" s="21">
        <v>6.0</v>
      </c>
      <c r="E54" s="19"/>
      <c r="F54" s="5"/>
      <c r="H54" s="19"/>
      <c r="Q54" s="5"/>
      <c r="R54" s="9"/>
    </row>
    <row r="55">
      <c r="A55" s="39">
        <v>46073.0</v>
      </c>
      <c r="B55" s="4" t="s">
        <v>45</v>
      </c>
      <c r="C55" s="43">
        <v>3.0</v>
      </c>
      <c r="E55" s="19"/>
      <c r="F55" s="5"/>
      <c r="H55" s="19"/>
      <c r="Q55" s="5"/>
      <c r="R55" s="9"/>
    </row>
    <row r="56">
      <c r="A56" s="39">
        <v>46073.0</v>
      </c>
      <c r="B56" s="4" t="s">
        <v>127</v>
      </c>
      <c r="C56" s="21">
        <v>3.0</v>
      </c>
      <c r="E56" s="19"/>
      <c r="F56" s="5"/>
      <c r="H56" s="19"/>
      <c r="Q56" s="5"/>
      <c r="R56" s="9"/>
    </row>
    <row r="57">
      <c r="A57" s="39">
        <v>46073.0</v>
      </c>
      <c r="B57" s="4" t="s">
        <v>45</v>
      </c>
      <c r="C57" s="21">
        <v>20.0</v>
      </c>
      <c r="E57" s="19"/>
      <c r="F57" s="5"/>
      <c r="H57" s="19"/>
      <c r="Q57" s="5"/>
      <c r="R57" s="9"/>
    </row>
    <row r="58">
      <c r="A58" s="39">
        <v>46073.0</v>
      </c>
      <c r="B58" s="4" t="s">
        <v>45</v>
      </c>
      <c r="C58" s="21">
        <v>13.0</v>
      </c>
      <c r="E58" s="19"/>
      <c r="F58" s="5"/>
      <c r="H58" s="19"/>
      <c r="Q58" s="5"/>
      <c r="R58" s="9"/>
    </row>
    <row r="59">
      <c r="A59" s="39">
        <v>46073.0</v>
      </c>
      <c r="B59" s="4" t="s">
        <v>66</v>
      </c>
      <c r="C59" s="21">
        <v>23.0</v>
      </c>
      <c r="E59" s="19"/>
      <c r="F59" s="5"/>
      <c r="H59" s="19"/>
      <c r="Q59" s="5"/>
      <c r="R59" s="9"/>
    </row>
    <row r="60">
      <c r="A60" s="39">
        <v>46074.0</v>
      </c>
      <c r="B60" s="4" t="s">
        <v>100</v>
      </c>
      <c r="C60" s="21">
        <v>6.0</v>
      </c>
      <c r="E60" s="19"/>
      <c r="F60" s="5"/>
      <c r="H60" s="19"/>
      <c r="Q60" s="5"/>
      <c r="R60" s="9"/>
    </row>
    <row r="61">
      <c r="A61" s="39">
        <v>46074.0</v>
      </c>
      <c r="B61" s="4" t="s">
        <v>73</v>
      </c>
      <c r="C61" s="21">
        <v>27.0</v>
      </c>
      <c r="E61" s="19"/>
      <c r="F61" s="5"/>
      <c r="H61" s="19"/>
      <c r="Q61" s="5"/>
      <c r="R61" s="9"/>
    </row>
    <row r="62">
      <c r="A62" s="39">
        <v>46074.0</v>
      </c>
      <c r="B62" s="4" t="s">
        <v>45</v>
      </c>
      <c r="C62" s="21">
        <v>15.0</v>
      </c>
      <c r="E62" s="19"/>
      <c r="F62" s="5"/>
      <c r="H62" s="19"/>
      <c r="Q62" s="5"/>
      <c r="R62" s="9"/>
    </row>
    <row r="63">
      <c r="A63" s="39">
        <v>46074.0</v>
      </c>
      <c r="B63" s="4" t="s">
        <v>66</v>
      </c>
      <c r="C63" s="21">
        <v>14.0</v>
      </c>
      <c r="E63" s="19"/>
      <c r="F63" s="5"/>
      <c r="H63" s="19"/>
      <c r="Q63" s="5"/>
      <c r="R63" s="9"/>
    </row>
    <row r="64">
      <c r="A64" s="39">
        <v>46075.0</v>
      </c>
      <c r="B64" s="4" t="s">
        <v>47</v>
      </c>
      <c r="C64" s="21">
        <v>3.0</v>
      </c>
      <c r="E64" s="19"/>
      <c r="F64" s="5"/>
      <c r="H64" s="19"/>
      <c r="Q64" s="5"/>
      <c r="R64" s="9"/>
    </row>
    <row r="65">
      <c r="A65" s="39">
        <v>46075.0</v>
      </c>
      <c r="B65" s="4" t="s">
        <v>127</v>
      </c>
      <c r="C65" s="21">
        <v>7.0</v>
      </c>
      <c r="E65" s="19"/>
      <c r="F65" s="5"/>
      <c r="H65" s="19"/>
      <c r="Q65" s="5"/>
      <c r="R65" s="9"/>
    </row>
    <row r="66">
      <c r="A66" s="39">
        <v>46076.0</v>
      </c>
      <c r="B66" s="4" t="s">
        <v>47</v>
      </c>
      <c r="C66" s="21">
        <v>9.0</v>
      </c>
      <c r="E66" s="19"/>
      <c r="F66" s="5"/>
      <c r="H66" s="19"/>
      <c r="Q66" s="5"/>
      <c r="R66" s="9"/>
    </row>
    <row r="67">
      <c r="A67" s="39">
        <v>46077.0</v>
      </c>
      <c r="B67" s="4" t="s">
        <v>62</v>
      </c>
      <c r="C67" s="21">
        <v>10.0</v>
      </c>
      <c r="E67" s="19"/>
      <c r="F67" s="5"/>
      <c r="H67" s="19"/>
      <c r="Q67" s="5"/>
      <c r="R67" s="9"/>
    </row>
    <row r="68">
      <c r="A68" s="39">
        <v>46078.0</v>
      </c>
      <c r="B68" s="4" t="s">
        <v>47</v>
      </c>
      <c r="C68" s="21">
        <v>11.0</v>
      </c>
      <c r="E68" s="19"/>
      <c r="F68" s="5"/>
      <c r="H68" s="19"/>
      <c r="Q68" s="5"/>
      <c r="R68" s="9"/>
    </row>
    <row r="69">
      <c r="A69" s="39">
        <v>46079.0</v>
      </c>
      <c r="B69" s="4" t="s">
        <v>62</v>
      </c>
      <c r="C69" s="21">
        <v>4.0</v>
      </c>
      <c r="E69" s="19"/>
      <c r="F69" s="5"/>
      <c r="H69" s="19"/>
      <c r="Q69" s="5"/>
      <c r="R69" s="9"/>
    </row>
    <row r="70">
      <c r="A70" s="39">
        <v>46079.0</v>
      </c>
      <c r="B70" s="4" t="s">
        <v>95</v>
      </c>
      <c r="C70" s="21">
        <v>4.0</v>
      </c>
      <c r="E70" s="19"/>
      <c r="F70" s="5"/>
      <c r="H70" s="19"/>
      <c r="Q70" s="5"/>
      <c r="R70" s="9"/>
    </row>
    <row r="71">
      <c r="A71" s="39">
        <v>46079.0</v>
      </c>
      <c r="B71" s="4" t="s">
        <v>90</v>
      </c>
      <c r="C71" s="21">
        <v>11.0</v>
      </c>
      <c r="E71" s="19"/>
      <c r="F71" s="5"/>
      <c r="H71" s="19"/>
      <c r="Q71" s="5"/>
      <c r="R71" s="9"/>
    </row>
    <row r="72">
      <c r="A72" s="39">
        <v>46079.0</v>
      </c>
      <c r="B72" s="4" t="s">
        <v>47</v>
      </c>
      <c r="C72" s="21">
        <v>6.0</v>
      </c>
      <c r="E72" s="19"/>
      <c r="F72" s="5"/>
      <c r="H72" s="19"/>
      <c r="Q72" s="5"/>
      <c r="R72" s="9"/>
    </row>
    <row r="73">
      <c r="A73" s="39">
        <v>46079.0</v>
      </c>
      <c r="B73" s="4" t="s">
        <v>127</v>
      </c>
      <c r="C73" s="21">
        <v>7.0</v>
      </c>
      <c r="E73" s="19"/>
      <c r="F73" s="5"/>
      <c r="H73" s="19"/>
      <c r="Q73" s="5"/>
      <c r="R73" s="9"/>
    </row>
    <row r="74">
      <c r="A74" s="39">
        <v>46080.0</v>
      </c>
      <c r="B74" s="4" t="s">
        <v>100</v>
      </c>
      <c r="C74" s="21">
        <v>17.0</v>
      </c>
      <c r="E74" s="19"/>
      <c r="F74" s="5"/>
      <c r="H74" s="19"/>
      <c r="Q74" s="5"/>
      <c r="R74" s="9"/>
    </row>
    <row r="75">
      <c r="A75" s="39">
        <v>46080.0</v>
      </c>
      <c r="B75" s="4" t="s">
        <v>84</v>
      </c>
      <c r="C75" s="21">
        <v>14.0</v>
      </c>
      <c r="E75" s="19"/>
      <c r="F75" s="5"/>
      <c r="H75" s="19"/>
      <c r="Q75" s="5"/>
      <c r="R75" s="9"/>
    </row>
    <row r="76">
      <c r="A76" s="39">
        <v>46080.0</v>
      </c>
      <c r="B76" s="4" t="s">
        <v>59</v>
      </c>
      <c r="C76" s="21">
        <v>3.0</v>
      </c>
      <c r="E76" s="19"/>
      <c r="F76" s="5"/>
      <c r="H76" s="19"/>
      <c r="Q76" s="5"/>
      <c r="R76" s="9"/>
    </row>
    <row r="77">
      <c r="A77" s="39">
        <v>46081.0</v>
      </c>
      <c r="B77" s="4" t="s">
        <v>45</v>
      </c>
      <c r="C77" s="21">
        <v>30.0</v>
      </c>
      <c r="E77" s="19"/>
      <c r="F77" s="5"/>
      <c r="H77" s="19"/>
      <c r="Q77" s="5"/>
      <c r="R77" s="9"/>
    </row>
    <row r="78">
      <c r="A78" s="39">
        <v>46081.0</v>
      </c>
      <c r="B78" s="4" t="s">
        <v>47</v>
      </c>
      <c r="C78" s="21">
        <v>28.0</v>
      </c>
      <c r="E78" s="19"/>
      <c r="F78" s="5"/>
      <c r="H78" s="19"/>
      <c r="Q78" s="5"/>
      <c r="R78" s="9"/>
    </row>
    <row r="79">
      <c r="A79" s="39">
        <v>46081.0</v>
      </c>
      <c r="B79" s="4" t="s">
        <v>73</v>
      </c>
      <c r="C79" s="21">
        <v>8.0</v>
      </c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202</v>
      </c>
      <c r="G1" s="28"/>
      <c r="H1" s="1" t="s">
        <v>46</v>
      </c>
      <c r="I1" s="5">
        <f>I6-I7</f>
        <v>-1080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42</v>
      </c>
      <c r="M1" s="19"/>
      <c r="N1" s="1" t="s">
        <v>48</v>
      </c>
      <c r="O1" s="16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4">
        <v>-1.0</v>
      </c>
      <c r="B2" s="4" t="s">
        <v>8</v>
      </c>
      <c r="C2" s="21">
        <v>500.0</v>
      </c>
      <c r="E2" s="1" t="s">
        <v>52</v>
      </c>
      <c r="F2" s="5">
        <f t="shared" si="1"/>
        <v>23</v>
      </c>
      <c r="G2" s="28"/>
      <c r="H2" s="1" t="s">
        <v>6</v>
      </c>
      <c r="I2" s="5">
        <f>SUMIF(B:B,H2,C:C)</f>
        <v>700</v>
      </c>
      <c r="K2" s="1" t="s">
        <v>53</v>
      </c>
      <c r="L2" s="5">
        <f t="shared" si="2"/>
        <v>0</v>
      </c>
      <c r="N2" s="39">
        <v>46023.0</v>
      </c>
      <c r="O2" s="5">
        <f t="shared" ref="O2:O32" si="3">sumif(A:A,N2,C:C)</f>
        <v>50</v>
      </c>
      <c r="P2" s="5">
        <f>SUM(O2)</f>
        <v>50</v>
      </c>
      <c r="Q2" s="5">
        <f t="shared" ref="Q2:Q32" si="4">P2/(ROW()-1)</f>
        <v>50</v>
      </c>
      <c r="R2" s="9">
        <f t="shared" ref="R2:R32" si="5">count(N:N)*Q2</f>
        <v>1550</v>
      </c>
      <c r="T2" s="9"/>
      <c r="U2" s="9"/>
    </row>
    <row r="3">
      <c r="A3" s="4">
        <v>-1.0</v>
      </c>
      <c r="B3" s="4" t="s">
        <v>54</v>
      </c>
      <c r="C3" s="41">
        <v>1105.0</v>
      </c>
      <c r="E3" s="1" t="s">
        <v>55</v>
      </c>
      <c r="F3" s="5">
        <f t="shared" si="1"/>
        <v>192</v>
      </c>
      <c r="G3" s="28"/>
      <c r="H3" s="1" t="s">
        <v>8</v>
      </c>
      <c r="I3" s="5">
        <f>SUMIF(B:B,H3,C:C)+I1</f>
        <v>-580</v>
      </c>
      <c r="K3" s="1" t="s">
        <v>56</v>
      </c>
      <c r="L3" s="5">
        <f t="shared" si="2"/>
        <v>16</v>
      </c>
      <c r="N3" s="39">
        <v>46024.0</v>
      </c>
      <c r="O3" s="5">
        <f t="shared" si="3"/>
        <v>19</v>
      </c>
      <c r="P3" s="5">
        <f t="shared" ref="P3:P32" si="6">P2+O3</f>
        <v>69</v>
      </c>
      <c r="Q3" s="5">
        <f t="shared" si="4"/>
        <v>34.5</v>
      </c>
      <c r="R3" s="9">
        <f t="shared" si="5"/>
        <v>1069.5</v>
      </c>
    </row>
    <row r="4">
      <c r="A4" s="4">
        <v>-1.0</v>
      </c>
      <c r="B4" s="4" t="s">
        <v>6</v>
      </c>
      <c r="C4" s="21">
        <v>700.0</v>
      </c>
      <c r="E4" s="1" t="s">
        <v>57</v>
      </c>
      <c r="F4" s="5">
        <f>SUMIF(B:B,"*"&amp;E4&amp;"*",C:C)+SUM(L1:L7)</f>
        <v>151</v>
      </c>
      <c r="G4" s="28"/>
      <c r="H4" s="1" t="s">
        <v>58</v>
      </c>
      <c r="I4" s="5">
        <f>I2+I3</f>
        <v>120</v>
      </c>
      <c r="K4" s="1" t="s">
        <v>59</v>
      </c>
      <c r="L4" s="5">
        <f t="shared" si="2"/>
        <v>2</v>
      </c>
      <c r="N4" s="39">
        <v>46025.0</v>
      </c>
      <c r="O4" s="5">
        <f t="shared" si="3"/>
        <v>28</v>
      </c>
      <c r="P4" s="5">
        <f t="shared" si="6"/>
        <v>97</v>
      </c>
      <c r="Q4" s="5">
        <f t="shared" si="4"/>
        <v>32.33333333</v>
      </c>
      <c r="R4" s="9">
        <f t="shared" si="5"/>
        <v>1002.333333</v>
      </c>
    </row>
    <row r="5">
      <c r="A5" s="4">
        <v>-1.0</v>
      </c>
      <c r="B5" s="4" t="s">
        <v>132</v>
      </c>
      <c r="C5" s="21">
        <v>258.0</v>
      </c>
      <c r="E5" s="42" t="s">
        <v>61</v>
      </c>
      <c r="F5" s="5">
        <f t="shared" ref="F5:F12" si="7">SUMIF(B:B,"*"&amp;E5&amp;"*",C:C)</f>
        <v>29</v>
      </c>
      <c r="G5" s="28"/>
      <c r="K5" s="1" t="s">
        <v>62</v>
      </c>
      <c r="L5" s="5">
        <f t="shared" si="2"/>
        <v>0</v>
      </c>
      <c r="N5" s="39">
        <v>46026.0</v>
      </c>
      <c r="O5" s="5">
        <f t="shared" si="3"/>
        <v>0</v>
      </c>
      <c r="P5" s="5">
        <f t="shared" si="6"/>
        <v>97</v>
      </c>
      <c r="Q5" s="5">
        <f t="shared" si="4"/>
        <v>24.25</v>
      </c>
      <c r="R5" s="9">
        <f t="shared" si="5"/>
        <v>751.75</v>
      </c>
    </row>
    <row r="6">
      <c r="A6" s="4">
        <v>-1.0</v>
      </c>
      <c r="B6" s="4" t="s">
        <v>133</v>
      </c>
      <c r="C6" s="21">
        <v>312.0</v>
      </c>
      <c r="E6" s="1" t="s">
        <v>64</v>
      </c>
      <c r="F6" s="5">
        <f t="shared" si="7"/>
        <v>96</v>
      </c>
      <c r="G6" s="28"/>
      <c r="H6" s="1" t="s">
        <v>65</v>
      </c>
      <c r="I6" s="21">
        <v>3327.0</v>
      </c>
      <c r="K6" s="1" t="s">
        <v>66</v>
      </c>
      <c r="L6" s="5">
        <f t="shared" si="2"/>
        <v>30</v>
      </c>
      <c r="N6" s="39">
        <v>46027.0</v>
      </c>
      <c r="O6" s="5">
        <f t="shared" si="3"/>
        <v>0</v>
      </c>
      <c r="P6" s="5">
        <f t="shared" si="6"/>
        <v>97</v>
      </c>
      <c r="Q6" s="5">
        <f t="shared" si="4"/>
        <v>19.4</v>
      </c>
      <c r="R6" s="9">
        <f t="shared" si="5"/>
        <v>601.4</v>
      </c>
    </row>
    <row r="7">
      <c r="A7" s="4">
        <v>-1.0</v>
      </c>
      <c r="B7" s="4" t="s">
        <v>134</v>
      </c>
      <c r="C7" s="21">
        <v>125.0</v>
      </c>
      <c r="E7" s="1" t="s">
        <v>54</v>
      </c>
      <c r="F7" s="5">
        <f t="shared" si="7"/>
        <v>1112</v>
      </c>
      <c r="G7" s="28"/>
      <c r="H7" s="1" t="s">
        <v>68</v>
      </c>
      <c r="I7" s="5">
        <f>sum(C:C)</f>
        <v>4407</v>
      </c>
      <c r="K7" s="1" t="s">
        <v>69</v>
      </c>
      <c r="L7" s="5">
        <f t="shared" si="2"/>
        <v>22</v>
      </c>
      <c r="N7" s="39">
        <v>46028.0</v>
      </c>
      <c r="O7" s="5">
        <f t="shared" si="3"/>
        <v>83</v>
      </c>
      <c r="P7" s="5">
        <f t="shared" si="6"/>
        <v>180</v>
      </c>
      <c r="Q7" s="5">
        <f t="shared" si="4"/>
        <v>30</v>
      </c>
      <c r="R7" s="9">
        <f t="shared" si="5"/>
        <v>930</v>
      </c>
    </row>
    <row r="8">
      <c r="A8" s="4">
        <v>-1.0</v>
      </c>
      <c r="B8" s="4" t="s">
        <v>135</v>
      </c>
      <c r="C8" s="21">
        <v>192.0</v>
      </c>
      <c r="E8" s="1" t="s">
        <v>127</v>
      </c>
      <c r="F8" s="5">
        <f t="shared" si="7"/>
        <v>79</v>
      </c>
      <c r="G8" s="28"/>
      <c r="H8" s="1" t="s">
        <v>72</v>
      </c>
      <c r="I8" s="5">
        <f>sum(F:F)+I2+C2</f>
        <v>4321</v>
      </c>
      <c r="N8" s="39">
        <v>46029.0</v>
      </c>
      <c r="O8" s="5">
        <f t="shared" si="3"/>
        <v>0</v>
      </c>
      <c r="P8" s="5">
        <f t="shared" si="6"/>
        <v>180</v>
      </c>
      <c r="Q8" s="5">
        <f t="shared" si="4"/>
        <v>25.71428571</v>
      </c>
      <c r="R8" s="9">
        <f t="shared" si="5"/>
        <v>797.1428571</v>
      </c>
    </row>
    <row r="9">
      <c r="A9" s="4">
        <v>-1.0</v>
      </c>
      <c r="B9" s="4" t="s">
        <v>136</v>
      </c>
      <c r="C9" s="21">
        <v>135.0</v>
      </c>
      <c r="E9" s="1" t="s">
        <v>73</v>
      </c>
      <c r="F9" s="5">
        <f t="shared" si="7"/>
        <v>6</v>
      </c>
      <c r="G9" s="28"/>
      <c r="H9" s="1" t="s">
        <v>74</v>
      </c>
      <c r="I9" s="5">
        <f>I7-I8</f>
        <v>86</v>
      </c>
      <c r="N9" s="39">
        <v>46030.0</v>
      </c>
      <c r="O9" s="5">
        <f t="shared" si="3"/>
        <v>0</v>
      </c>
      <c r="P9" s="5">
        <f t="shared" si="6"/>
        <v>180</v>
      </c>
      <c r="Q9" s="5">
        <f t="shared" si="4"/>
        <v>22.5</v>
      </c>
      <c r="R9" s="9">
        <f t="shared" si="5"/>
        <v>697.5</v>
      </c>
    </row>
    <row r="10">
      <c r="A10" s="39">
        <v>46023.0</v>
      </c>
      <c r="B10" s="4" t="s">
        <v>63</v>
      </c>
      <c r="C10" s="21">
        <v>7.0</v>
      </c>
      <c r="E10" s="1" t="s">
        <v>75</v>
      </c>
      <c r="F10" s="5">
        <f t="shared" si="7"/>
        <v>22</v>
      </c>
      <c r="G10" s="28"/>
      <c r="N10" s="39">
        <v>46031.0</v>
      </c>
      <c r="O10" s="5">
        <f t="shared" si="3"/>
        <v>0</v>
      </c>
      <c r="P10" s="5">
        <f t="shared" si="6"/>
        <v>180</v>
      </c>
      <c r="Q10" s="5">
        <f t="shared" si="4"/>
        <v>20</v>
      </c>
      <c r="R10" s="9">
        <f t="shared" si="5"/>
        <v>620</v>
      </c>
    </row>
    <row r="11">
      <c r="A11" s="39">
        <v>46023.0</v>
      </c>
      <c r="B11" s="4" t="s">
        <v>67</v>
      </c>
      <c r="C11" s="21">
        <v>22.0</v>
      </c>
      <c r="E11" s="1" t="s">
        <v>76</v>
      </c>
      <c r="F11" s="5">
        <f t="shared" si="7"/>
        <v>10</v>
      </c>
      <c r="G11" s="28"/>
      <c r="H11" s="1" t="s">
        <v>3</v>
      </c>
      <c r="I11" s="28">
        <f>I4/I6</f>
        <v>0.03606853021</v>
      </c>
      <c r="N11" s="39">
        <v>46032.0</v>
      </c>
      <c r="O11" s="5">
        <f t="shared" si="3"/>
        <v>8</v>
      </c>
      <c r="P11" s="5">
        <f t="shared" si="6"/>
        <v>188</v>
      </c>
      <c r="Q11" s="5">
        <f t="shared" si="4"/>
        <v>18.8</v>
      </c>
      <c r="R11" s="9">
        <f t="shared" si="5"/>
        <v>582.8</v>
      </c>
    </row>
    <row r="12">
      <c r="A12" s="39">
        <v>46023.0</v>
      </c>
      <c r="B12" s="4" t="s">
        <v>70</v>
      </c>
      <c r="C12" s="21">
        <v>9.0</v>
      </c>
      <c r="E12" s="1" t="s">
        <v>77</v>
      </c>
      <c r="F12" s="5">
        <f t="shared" si="7"/>
        <v>1199</v>
      </c>
      <c r="G12" s="28"/>
      <c r="N12" s="39">
        <v>46033.0</v>
      </c>
      <c r="O12" s="5">
        <f t="shared" si="3"/>
        <v>30</v>
      </c>
      <c r="P12" s="5">
        <f t="shared" si="6"/>
        <v>218</v>
      </c>
      <c r="Q12" s="5">
        <f t="shared" si="4"/>
        <v>19.81818182</v>
      </c>
      <c r="R12" s="9">
        <f t="shared" si="5"/>
        <v>614.3636364</v>
      </c>
    </row>
    <row r="13">
      <c r="A13" s="39">
        <v>46023.0</v>
      </c>
      <c r="B13" s="4" t="s">
        <v>137</v>
      </c>
      <c r="C13" s="21">
        <v>12.0</v>
      </c>
      <c r="E13" s="1"/>
      <c r="F13" s="5"/>
      <c r="N13" s="39">
        <v>46034.0</v>
      </c>
      <c r="O13" s="5">
        <f t="shared" si="3"/>
        <v>14</v>
      </c>
      <c r="P13" s="5">
        <f t="shared" si="6"/>
        <v>232</v>
      </c>
      <c r="Q13" s="5">
        <f t="shared" si="4"/>
        <v>19.33333333</v>
      </c>
      <c r="R13" s="9">
        <f t="shared" si="5"/>
        <v>599.3333333</v>
      </c>
    </row>
    <row r="14">
      <c r="A14" s="39">
        <v>46024.0</v>
      </c>
      <c r="B14" s="4" t="s">
        <v>66</v>
      </c>
      <c r="C14" s="21">
        <v>14.0</v>
      </c>
      <c r="E14" s="1"/>
      <c r="F14" s="5"/>
      <c r="H14" s="19"/>
      <c r="N14" s="39">
        <v>46035.0</v>
      </c>
      <c r="O14" s="5">
        <f t="shared" si="3"/>
        <v>4</v>
      </c>
      <c r="P14" s="5">
        <f t="shared" si="6"/>
        <v>236</v>
      </c>
      <c r="Q14" s="5">
        <f t="shared" si="4"/>
        <v>18.15384615</v>
      </c>
      <c r="R14" s="9">
        <f t="shared" si="5"/>
        <v>562.7692308</v>
      </c>
    </row>
    <row r="15">
      <c r="A15" s="39">
        <v>46024.0</v>
      </c>
      <c r="B15" s="4" t="s">
        <v>56</v>
      </c>
      <c r="C15" s="21">
        <v>5.0</v>
      </c>
      <c r="E15" s="1"/>
      <c r="F15" s="5"/>
      <c r="H15" s="1"/>
      <c r="N15" s="39">
        <v>46036.0</v>
      </c>
      <c r="O15" s="5">
        <f t="shared" si="3"/>
        <v>55</v>
      </c>
      <c r="P15" s="5">
        <f t="shared" si="6"/>
        <v>291</v>
      </c>
      <c r="Q15" s="5">
        <f t="shared" si="4"/>
        <v>20.78571429</v>
      </c>
      <c r="R15" s="9">
        <f t="shared" si="5"/>
        <v>644.3571429</v>
      </c>
    </row>
    <row r="16">
      <c r="A16" s="39">
        <v>46025.0</v>
      </c>
      <c r="B16" s="4" t="s">
        <v>127</v>
      </c>
      <c r="C16" s="21">
        <v>14.0</v>
      </c>
      <c r="F16" s="5"/>
      <c r="H16" s="19"/>
      <c r="N16" s="39">
        <v>46037.0</v>
      </c>
      <c r="O16" s="5">
        <f t="shared" si="3"/>
        <v>24</v>
      </c>
      <c r="P16" s="5">
        <f t="shared" si="6"/>
        <v>315</v>
      </c>
      <c r="Q16" s="5">
        <f t="shared" si="4"/>
        <v>21</v>
      </c>
      <c r="R16" s="9">
        <f t="shared" si="5"/>
        <v>651</v>
      </c>
    </row>
    <row r="17">
      <c r="A17" s="39">
        <v>46025.0</v>
      </c>
      <c r="B17" s="4" t="s">
        <v>95</v>
      </c>
      <c r="C17" s="21">
        <v>10.0</v>
      </c>
      <c r="F17" s="5"/>
      <c r="H17" s="19"/>
      <c r="N17" s="39">
        <v>46038.0</v>
      </c>
      <c r="O17" s="5">
        <f t="shared" si="3"/>
        <v>39</v>
      </c>
      <c r="P17" s="5">
        <f t="shared" si="6"/>
        <v>354</v>
      </c>
      <c r="Q17" s="5">
        <f t="shared" si="4"/>
        <v>22.125</v>
      </c>
      <c r="R17" s="9">
        <f t="shared" si="5"/>
        <v>685.875</v>
      </c>
    </row>
    <row r="18">
      <c r="A18" s="39">
        <v>46025.0</v>
      </c>
      <c r="B18" s="4" t="s">
        <v>57</v>
      </c>
      <c r="C18" s="21">
        <v>4.0</v>
      </c>
      <c r="F18" s="5"/>
      <c r="H18" s="19"/>
      <c r="N18" s="39">
        <v>46039.0</v>
      </c>
      <c r="O18" s="5">
        <f t="shared" si="3"/>
        <v>68</v>
      </c>
      <c r="P18" s="5">
        <f t="shared" si="6"/>
        <v>422</v>
      </c>
      <c r="Q18" s="5">
        <f t="shared" si="4"/>
        <v>24.82352941</v>
      </c>
      <c r="R18" s="9">
        <f t="shared" si="5"/>
        <v>769.5294118</v>
      </c>
    </row>
    <row r="19">
      <c r="A19" s="39">
        <v>46028.0</v>
      </c>
      <c r="B19" s="4" t="s">
        <v>64</v>
      </c>
      <c r="C19" s="21">
        <v>78.0</v>
      </c>
      <c r="F19" s="5"/>
      <c r="H19" s="19"/>
      <c r="N19" s="39">
        <v>46040.0</v>
      </c>
      <c r="O19" s="5">
        <f t="shared" si="3"/>
        <v>46</v>
      </c>
      <c r="P19" s="5">
        <f t="shared" si="6"/>
        <v>468</v>
      </c>
      <c r="Q19" s="5">
        <f t="shared" si="4"/>
        <v>26</v>
      </c>
      <c r="R19" s="9">
        <f t="shared" si="5"/>
        <v>806</v>
      </c>
    </row>
    <row r="20">
      <c r="A20" s="39">
        <v>46028.0</v>
      </c>
      <c r="B20" s="4" t="s">
        <v>138</v>
      </c>
      <c r="C20" s="21">
        <v>5.0</v>
      </c>
      <c r="F20" s="5"/>
      <c r="H20" s="19"/>
      <c r="N20" s="39">
        <v>46041.0</v>
      </c>
      <c r="O20" s="5">
        <f t="shared" si="3"/>
        <v>17</v>
      </c>
      <c r="P20" s="5">
        <f t="shared" si="6"/>
        <v>485</v>
      </c>
      <c r="Q20" s="5">
        <f t="shared" si="4"/>
        <v>25.52631579</v>
      </c>
      <c r="R20" s="9">
        <f t="shared" si="5"/>
        <v>791.3157895</v>
      </c>
    </row>
    <row r="21">
      <c r="A21" s="39">
        <v>46032.0</v>
      </c>
      <c r="B21" s="4" t="s">
        <v>139</v>
      </c>
      <c r="C21" s="21">
        <v>8.0</v>
      </c>
      <c r="E21" s="19"/>
      <c r="F21" s="5"/>
      <c r="H21" s="19"/>
      <c r="N21" s="39">
        <v>46042.0</v>
      </c>
      <c r="O21" s="5">
        <f t="shared" si="3"/>
        <v>16</v>
      </c>
      <c r="P21" s="5">
        <f t="shared" si="6"/>
        <v>501</v>
      </c>
      <c r="Q21" s="5">
        <f t="shared" si="4"/>
        <v>25.05</v>
      </c>
      <c r="R21" s="9">
        <f t="shared" si="5"/>
        <v>776.55</v>
      </c>
    </row>
    <row r="22">
      <c r="A22" s="39">
        <v>46033.0</v>
      </c>
      <c r="B22" s="4" t="s">
        <v>76</v>
      </c>
      <c r="C22" s="21">
        <v>6.0</v>
      </c>
      <c r="E22" s="19"/>
      <c r="F22" s="5"/>
      <c r="H22" s="19"/>
      <c r="N22" s="39">
        <v>46043.0</v>
      </c>
      <c r="O22" s="5">
        <f t="shared" si="3"/>
        <v>26</v>
      </c>
      <c r="P22" s="5">
        <f t="shared" si="6"/>
        <v>527</v>
      </c>
      <c r="Q22" s="5">
        <f t="shared" si="4"/>
        <v>25.0952381</v>
      </c>
      <c r="R22" s="9">
        <f t="shared" si="5"/>
        <v>777.952381</v>
      </c>
    </row>
    <row r="23">
      <c r="A23" s="39">
        <v>46033.0</v>
      </c>
      <c r="B23" s="4" t="s">
        <v>66</v>
      </c>
      <c r="C23" s="21">
        <v>10.0</v>
      </c>
      <c r="E23" s="19"/>
      <c r="F23" s="5"/>
      <c r="H23" s="19"/>
      <c r="N23" s="39">
        <v>46044.0</v>
      </c>
      <c r="O23" s="5">
        <f t="shared" si="3"/>
        <v>63</v>
      </c>
      <c r="P23" s="5">
        <f t="shared" si="6"/>
        <v>590</v>
      </c>
      <c r="Q23" s="5">
        <f t="shared" si="4"/>
        <v>26.81818182</v>
      </c>
      <c r="R23" s="9">
        <f t="shared" si="5"/>
        <v>831.3636364</v>
      </c>
    </row>
    <row r="24">
      <c r="A24" s="39">
        <v>46033.0</v>
      </c>
      <c r="B24" s="4" t="s">
        <v>127</v>
      </c>
      <c r="C24" s="21">
        <v>14.0</v>
      </c>
      <c r="F24" s="5"/>
      <c r="H24" s="19"/>
      <c r="N24" s="39">
        <v>46045.0</v>
      </c>
      <c r="O24" s="5">
        <f t="shared" si="3"/>
        <v>77</v>
      </c>
      <c r="P24" s="5">
        <f t="shared" si="6"/>
        <v>667</v>
      </c>
      <c r="Q24" s="5">
        <f t="shared" si="4"/>
        <v>29</v>
      </c>
      <c r="R24" s="9">
        <f t="shared" si="5"/>
        <v>899</v>
      </c>
    </row>
    <row r="25">
      <c r="A25" s="39">
        <v>46034.0</v>
      </c>
      <c r="B25" s="4" t="s">
        <v>56</v>
      </c>
      <c r="C25" s="21">
        <v>11.0</v>
      </c>
      <c r="F25" s="5"/>
      <c r="H25" s="19"/>
      <c r="N25" s="39">
        <v>46046.0</v>
      </c>
      <c r="O25" s="5">
        <f t="shared" si="3"/>
        <v>16</v>
      </c>
      <c r="P25" s="5">
        <f t="shared" si="6"/>
        <v>683</v>
      </c>
      <c r="Q25" s="5">
        <f t="shared" si="4"/>
        <v>28.45833333</v>
      </c>
      <c r="R25" s="9">
        <f t="shared" si="5"/>
        <v>882.2083333</v>
      </c>
    </row>
    <row r="26">
      <c r="A26" s="39">
        <v>46034.0</v>
      </c>
      <c r="B26" s="4" t="s">
        <v>47</v>
      </c>
      <c r="C26" s="21">
        <v>3.0</v>
      </c>
      <c r="F26" s="5"/>
      <c r="H26" s="19"/>
      <c r="N26" s="39">
        <v>46047.0</v>
      </c>
      <c r="O26" s="5">
        <f t="shared" si="3"/>
        <v>0</v>
      </c>
      <c r="P26" s="5">
        <f t="shared" si="6"/>
        <v>683</v>
      </c>
      <c r="Q26" s="5">
        <f t="shared" si="4"/>
        <v>27.32</v>
      </c>
      <c r="R26" s="9">
        <f t="shared" si="5"/>
        <v>846.92</v>
      </c>
    </row>
    <row r="27">
      <c r="A27" s="39">
        <v>46035.0</v>
      </c>
      <c r="B27" s="4" t="s">
        <v>127</v>
      </c>
      <c r="C27" s="21">
        <v>4.0</v>
      </c>
      <c r="F27" s="5"/>
      <c r="H27" s="19"/>
      <c r="N27" s="39">
        <v>46048.0</v>
      </c>
      <c r="O27" s="5">
        <f t="shared" si="3"/>
        <v>8</v>
      </c>
      <c r="P27" s="5">
        <f t="shared" si="6"/>
        <v>691</v>
      </c>
      <c r="Q27" s="5">
        <f t="shared" si="4"/>
        <v>26.57692308</v>
      </c>
      <c r="R27" s="9">
        <f t="shared" si="5"/>
        <v>823.8846154</v>
      </c>
    </row>
    <row r="28">
      <c r="A28" s="39">
        <v>46036.0</v>
      </c>
      <c r="B28" s="4" t="s">
        <v>57</v>
      </c>
      <c r="C28" s="21">
        <v>26.0</v>
      </c>
      <c r="F28" s="5"/>
      <c r="H28" s="19"/>
      <c r="N28" s="39">
        <v>46049.0</v>
      </c>
      <c r="O28" s="5">
        <f t="shared" si="3"/>
        <v>208</v>
      </c>
      <c r="P28" s="5">
        <f t="shared" si="6"/>
        <v>899</v>
      </c>
      <c r="Q28" s="5">
        <f t="shared" si="4"/>
        <v>33.2962963</v>
      </c>
      <c r="R28" s="9">
        <f t="shared" si="5"/>
        <v>1032.185185</v>
      </c>
    </row>
    <row r="29">
      <c r="A29" s="39">
        <v>46036.0</v>
      </c>
      <c r="B29" s="4" t="s">
        <v>69</v>
      </c>
      <c r="C29" s="21">
        <v>22.0</v>
      </c>
      <c r="F29" s="5"/>
      <c r="H29" s="19"/>
      <c r="N29" s="39">
        <v>46050.0</v>
      </c>
      <c r="O29" s="5">
        <f t="shared" si="3"/>
        <v>10</v>
      </c>
      <c r="P29" s="5">
        <f t="shared" si="6"/>
        <v>909</v>
      </c>
      <c r="Q29" s="5">
        <f t="shared" si="4"/>
        <v>32.46428571</v>
      </c>
      <c r="R29" s="9">
        <f t="shared" si="5"/>
        <v>1006.392857</v>
      </c>
    </row>
    <row r="30">
      <c r="A30" s="39">
        <v>46036.0</v>
      </c>
      <c r="B30" s="4" t="s">
        <v>47</v>
      </c>
      <c r="C30" s="21">
        <v>7.0</v>
      </c>
      <c r="F30" s="5"/>
      <c r="H30" s="19"/>
      <c r="N30" s="39">
        <v>46051.0</v>
      </c>
      <c r="O30" s="5">
        <f t="shared" si="3"/>
        <v>66</v>
      </c>
      <c r="P30" s="5">
        <f t="shared" si="6"/>
        <v>975</v>
      </c>
      <c r="Q30" s="5">
        <f t="shared" si="4"/>
        <v>33.62068966</v>
      </c>
      <c r="R30" s="9">
        <f t="shared" si="5"/>
        <v>1042.241379</v>
      </c>
    </row>
    <row r="31">
      <c r="A31" s="39">
        <v>46037.0</v>
      </c>
      <c r="B31" s="4" t="s">
        <v>76</v>
      </c>
      <c r="C31" s="21">
        <v>4.0</v>
      </c>
      <c r="E31" s="19"/>
      <c r="F31" s="5"/>
      <c r="H31" s="19"/>
      <c r="N31" s="39">
        <v>46052.0</v>
      </c>
      <c r="O31" s="5">
        <f t="shared" si="3"/>
        <v>100</v>
      </c>
      <c r="P31" s="5">
        <f t="shared" si="6"/>
        <v>1075</v>
      </c>
      <c r="Q31" s="5">
        <f t="shared" si="4"/>
        <v>35.83333333</v>
      </c>
      <c r="R31" s="9">
        <f t="shared" si="5"/>
        <v>1110.833333</v>
      </c>
    </row>
    <row r="32">
      <c r="A32" s="39">
        <v>46037.0</v>
      </c>
      <c r="B32" s="4" t="s">
        <v>140</v>
      </c>
      <c r="C32" s="21">
        <v>13.0</v>
      </c>
      <c r="E32" s="19"/>
      <c r="F32" s="5"/>
      <c r="H32" s="19"/>
      <c r="N32" s="39">
        <v>46053.0</v>
      </c>
      <c r="O32" s="5">
        <f t="shared" si="3"/>
        <v>5</v>
      </c>
      <c r="P32" s="5">
        <f t="shared" si="6"/>
        <v>1080</v>
      </c>
      <c r="Q32" s="5">
        <f t="shared" si="4"/>
        <v>34.83870968</v>
      </c>
      <c r="R32" s="9">
        <f t="shared" si="5"/>
        <v>1080</v>
      </c>
    </row>
    <row r="33">
      <c r="A33" s="39">
        <v>46037.0</v>
      </c>
      <c r="B33" s="4" t="s">
        <v>127</v>
      </c>
      <c r="C33" s="21">
        <v>7.0</v>
      </c>
      <c r="E33" s="19"/>
      <c r="F33" s="5"/>
      <c r="H33" s="19"/>
      <c r="N33" s="39"/>
      <c r="O33" s="5"/>
      <c r="Q33" s="5"/>
      <c r="R33" s="9"/>
    </row>
    <row r="34">
      <c r="A34" s="39">
        <v>46038.0</v>
      </c>
      <c r="B34" s="4" t="s">
        <v>141</v>
      </c>
      <c r="C34" s="21">
        <v>30.0</v>
      </c>
      <c r="E34" s="19"/>
      <c r="F34" s="5"/>
      <c r="H34" s="19"/>
      <c r="O34" s="5"/>
      <c r="Q34" s="5"/>
      <c r="R34" s="9"/>
    </row>
    <row r="35">
      <c r="A35" s="39">
        <v>46038.0</v>
      </c>
      <c r="B35" s="4" t="s">
        <v>127</v>
      </c>
      <c r="C35" s="21">
        <v>9.0</v>
      </c>
      <c r="E35" s="19"/>
      <c r="F35" s="5"/>
      <c r="H35" s="19"/>
      <c r="O35" s="5"/>
      <c r="Q35" s="5"/>
      <c r="R35" s="9"/>
    </row>
    <row r="36">
      <c r="A36" s="39">
        <v>46039.0</v>
      </c>
      <c r="B36" s="4" t="s">
        <v>45</v>
      </c>
      <c r="C36" s="21">
        <v>43.0</v>
      </c>
      <c r="E36" s="19"/>
      <c r="F36" s="5"/>
      <c r="H36" s="19"/>
      <c r="O36" s="5"/>
      <c r="Q36" s="5"/>
      <c r="R36" s="9"/>
    </row>
    <row r="37">
      <c r="A37" s="39">
        <v>46039.0</v>
      </c>
      <c r="B37" s="4" t="s">
        <v>142</v>
      </c>
      <c r="C37" s="21">
        <v>6.0</v>
      </c>
      <c r="E37" s="19"/>
      <c r="F37" s="5"/>
      <c r="H37" s="19"/>
      <c r="O37" s="5"/>
      <c r="Q37" s="5"/>
      <c r="R37" s="9"/>
    </row>
    <row r="38">
      <c r="A38" s="39">
        <v>46039.0</v>
      </c>
      <c r="B38" s="4" t="s">
        <v>57</v>
      </c>
      <c r="C38" s="21">
        <v>9.0</v>
      </c>
      <c r="E38" s="19"/>
      <c r="F38" s="5"/>
      <c r="H38" s="19"/>
      <c r="O38" s="5"/>
      <c r="Q38" s="5"/>
      <c r="R38" s="9"/>
    </row>
    <row r="39">
      <c r="A39" s="39">
        <v>46039.0</v>
      </c>
      <c r="B39" s="4" t="s">
        <v>127</v>
      </c>
      <c r="C39" s="21">
        <v>10.0</v>
      </c>
      <c r="E39" s="19"/>
      <c r="F39" s="5"/>
      <c r="H39" s="19"/>
      <c r="O39" s="5"/>
      <c r="Q39" s="5"/>
      <c r="R39" s="9"/>
    </row>
    <row r="40">
      <c r="A40" s="39">
        <v>46040.0</v>
      </c>
      <c r="B40" s="4" t="s">
        <v>45</v>
      </c>
      <c r="C40" s="21">
        <v>29.0</v>
      </c>
      <c r="E40" s="19"/>
      <c r="F40" s="5"/>
      <c r="H40" s="19"/>
      <c r="O40" s="5"/>
      <c r="Q40" s="5"/>
      <c r="R40" s="9"/>
    </row>
    <row r="41">
      <c r="A41" s="39">
        <v>46040.0</v>
      </c>
      <c r="B41" s="4" t="s">
        <v>52</v>
      </c>
      <c r="C41" s="21">
        <v>11.0</v>
      </c>
      <c r="E41" s="19"/>
      <c r="F41" s="5"/>
      <c r="H41" s="19"/>
      <c r="O41" s="5"/>
      <c r="Q41" s="5"/>
      <c r="R41" s="9"/>
    </row>
    <row r="42">
      <c r="A42" s="39">
        <v>46040.0</v>
      </c>
      <c r="B42" s="4" t="s">
        <v>73</v>
      </c>
      <c r="C42" s="21">
        <v>6.0</v>
      </c>
      <c r="E42" s="19"/>
      <c r="F42" s="5"/>
      <c r="H42" s="19"/>
      <c r="O42" s="5"/>
      <c r="Q42" s="5"/>
      <c r="R42" s="9"/>
    </row>
    <row r="43">
      <c r="A43" s="39">
        <v>46041.0</v>
      </c>
      <c r="B43" s="4" t="s">
        <v>124</v>
      </c>
      <c r="C43" s="21">
        <v>6.0</v>
      </c>
      <c r="E43" s="19"/>
      <c r="F43" s="5"/>
      <c r="H43" s="19"/>
      <c r="O43" s="5"/>
      <c r="Q43" s="5"/>
      <c r="R43" s="9"/>
    </row>
    <row r="44">
      <c r="A44" s="39">
        <v>46041.0</v>
      </c>
      <c r="B44" s="4" t="s">
        <v>47</v>
      </c>
      <c r="C44" s="21">
        <v>6.0</v>
      </c>
      <c r="E44" s="19"/>
      <c r="F44" s="5"/>
      <c r="H44" s="19"/>
      <c r="O44" s="5"/>
      <c r="Q44" s="5"/>
      <c r="R44" s="9"/>
    </row>
    <row r="45">
      <c r="A45" s="39">
        <v>46041.0</v>
      </c>
      <c r="B45" s="4" t="s">
        <v>108</v>
      </c>
      <c r="C45" s="21">
        <v>5.0</v>
      </c>
      <c r="E45" s="19"/>
      <c r="F45" s="5"/>
      <c r="H45" s="19"/>
      <c r="O45" s="5"/>
      <c r="Q45" s="5"/>
      <c r="R45" s="9"/>
    </row>
    <row r="46">
      <c r="A46" s="39">
        <v>46042.0</v>
      </c>
      <c r="B46" s="4" t="s">
        <v>47</v>
      </c>
      <c r="C46" s="21">
        <v>16.0</v>
      </c>
      <c r="E46" s="19"/>
      <c r="F46" s="5"/>
      <c r="H46" s="19"/>
      <c r="O46" s="5"/>
      <c r="Q46" s="5"/>
      <c r="R46" s="9"/>
    </row>
    <row r="47">
      <c r="A47" s="39">
        <v>46043.0</v>
      </c>
      <c r="B47" s="4" t="s">
        <v>59</v>
      </c>
      <c r="C47" s="21">
        <v>2.0</v>
      </c>
      <c r="E47" s="19"/>
      <c r="F47" s="5"/>
      <c r="H47" s="19"/>
      <c r="O47" s="5"/>
      <c r="Q47" s="5"/>
      <c r="R47" s="9"/>
    </row>
    <row r="48">
      <c r="A48" s="39">
        <v>46043.0</v>
      </c>
      <c r="B48" s="4" t="s">
        <v>127</v>
      </c>
      <c r="C48" s="21">
        <v>6.0</v>
      </c>
      <c r="E48" s="19"/>
      <c r="F48" s="5"/>
      <c r="H48" s="19"/>
      <c r="O48" s="5"/>
      <c r="Q48" s="5"/>
      <c r="R48" s="9"/>
    </row>
    <row r="49">
      <c r="A49" s="39">
        <v>46043.0</v>
      </c>
      <c r="B49" s="4" t="s">
        <v>64</v>
      </c>
      <c r="C49" s="21">
        <v>18.0</v>
      </c>
      <c r="E49" s="19"/>
      <c r="F49" s="5"/>
      <c r="H49" s="19"/>
      <c r="O49" s="5"/>
      <c r="Q49" s="5"/>
      <c r="R49" s="9"/>
    </row>
    <row r="50">
      <c r="A50" s="39">
        <v>46044.0</v>
      </c>
      <c r="B50" s="4" t="s">
        <v>143</v>
      </c>
      <c r="C50" s="21">
        <v>31.0</v>
      </c>
      <c r="E50" s="19"/>
      <c r="F50" s="5"/>
      <c r="H50" s="19"/>
      <c r="O50" s="5"/>
      <c r="Q50" s="5"/>
      <c r="R50" s="9"/>
    </row>
    <row r="51">
      <c r="A51" s="39">
        <v>46044.0</v>
      </c>
      <c r="B51" s="4" t="s">
        <v>45</v>
      </c>
      <c r="C51" s="21">
        <v>13.0</v>
      </c>
      <c r="E51" s="19"/>
      <c r="F51" s="5"/>
      <c r="H51" s="19"/>
      <c r="O51" s="5"/>
      <c r="Q51" s="5"/>
      <c r="R51" s="9"/>
    </row>
    <row r="52">
      <c r="A52" s="39">
        <v>46044.0</v>
      </c>
      <c r="B52" s="4" t="s">
        <v>127</v>
      </c>
      <c r="C52" s="21">
        <v>9.0</v>
      </c>
      <c r="E52" s="19"/>
      <c r="F52" s="5"/>
      <c r="H52" s="19"/>
      <c r="O52" s="5"/>
      <c r="Q52" s="5"/>
      <c r="R52" s="9"/>
    </row>
    <row r="53">
      <c r="A53" s="39">
        <v>46044.0</v>
      </c>
      <c r="B53" s="4" t="s">
        <v>90</v>
      </c>
      <c r="C53" s="21">
        <v>10.0</v>
      </c>
      <c r="E53" s="19"/>
      <c r="F53" s="5"/>
      <c r="H53" s="19"/>
      <c r="O53" s="5"/>
      <c r="Q53" s="5"/>
      <c r="R53" s="9"/>
    </row>
    <row r="54">
      <c r="A54" s="39">
        <v>46045.0</v>
      </c>
      <c r="B54" s="4" t="s">
        <v>93</v>
      </c>
      <c r="C54" s="21">
        <v>48.0</v>
      </c>
      <c r="E54" s="19"/>
      <c r="F54" s="5"/>
      <c r="H54" s="19"/>
      <c r="O54" s="5"/>
      <c r="Q54" s="5"/>
      <c r="R54" s="9"/>
    </row>
    <row r="55">
      <c r="A55" s="39">
        <v>46045.0</v>
      </c>
      <c r="B55" s="4" t="s">
        <v>45</v>
      </c>
      <c r="C55" s="21">
        <v>13.0</v>
      </c>
      <c r="E55" s="19"/>
      <c r="F55" s="5"/>
      <c r="H55" s="19"/>
      <c r="O55" s="5"/>
      <c r="Q55" s="5"/>
      <c r="R55" s="9"/>
    </row>
    <row r="56">
      <c r="A56" s="39">
        <v>46045.0</v>
      </c>
      <c r="B56" s="4" t="s">
        <v>47</v>
      </c>
      <c r="C56" s="21">
        <v>10.0</v>
      </c>
      <c r="E56" s="19"/>
      <c r="F56" s="5"/>
      <c r="H56" s="19"/>
      <c r="O56" s="5"/>
      <c r="Q56" s="5"/>
      <c r="R56" s="9"/>
    </row>
    <row r="57">
      <c r="A57" s="39">
        <v>46045.0</v>
      </c>
      <c r="B57" s="4" t="s">
        <v>66</v>
      </c>
      <c r="C57" s="21">
        <v>6.0</v>
      </c>
      <c r="E57" s="19"/>
      <c r="F57" s="5"/>
      <c r="H57" s="19"/>
      <c r="O57" s="5"/>
      <c r="Q57" s="5"/>
      <c r="R57" s="9"/>
    </row>
    <row r="58">
      <c r="A58" s="39">
        <v>46046.0</v>
      </c>
      <c r="B58" s="4" t="s">
        <v>144</v>
      </c>
      <c r="C58" s="21">
        <v>3.0</v>
      </c>
      <c r="E58" s="19"/>
      <c r="F58" s="5"/>
      <c r="H58" s="19"/>
      <c r="O58" s="5"/>
      <c r="Q58" s="5"/>
      <c r="R58" s="9"/>
    </row>
    <row r="59">
      <c r="A59" s="39">
        <v>46046.0</v>
      </c>
      <c r="B59" s="4" t="s">
        <v>90</v>
      </c>
      <c r="C59" s="21">
        <v>13.0</v>
      </c>
      <c r="E59" s="19"/>
      <c r="F59" s="5"/>
      <c r="H59" s="19"/>
      <c r="O59" s="5"/>
      <c r="Q59" s="5"/>
      <c r="R59" s="9"/>
    </row>
    <row r="60">
      <c r="A60" s="39">
        <v>46048.0</v>
      </c>
      <c r="B60" s="4" t="s">
        <v>45</v>
      </c>
      <c r="C60" s="21">
        <v>8.0</v>
      </c>
      <c r="E60" s="19"/>
      <c r="F60" s="5"/>
      <c r="H60" s="19"/>
      <c r="O60" s="5"/>
      <c r="Q60" s="5"/>
      <c r="R60" s="9"/>
    </row>
    <row r="61">
      <c r="A61" s="39">
        <v>46049.0</v>
      </c>
      <c r="B61" s="4" t="s">
        <v>45</v>
      </c>
      <c r="C61" s="21">
        <v>16.0</v>
      </c>
      <c r="E61" s="19"/>
      <c r="F61" s="5"/>
      <c r="H61" s="19"/>
      <c r="O61" s="5"/>
      <c r="Q61" s="5"/>
      <c r="R61" s="9"/>
    </row>
    <row r="62">
      <c r="A62" s="39">
        <v>46049.0</v>
      </c>
      <c r="B62" s="4" t="s">
        <v>145</v>
      </c>
      <c r="C62" s="21">
        <v>177.0</v>
      </c>
      <c r="E62" s="19"/>
      <c r="F62" s="5"/>
      <c r="H62" s="19"/>
      <c r="O62" s="5"/>
      <c r="Q62" s="5"/>
      <c r="R62" s="9"/>
    </row>
    <row r="63">
      <c r="A63" s="39">
        <v>46049.0</v>
      </c>
      <c r="B63" s="4" t="s">
        <v>90</v>
      </c>
      <c r="C63" s="21">
        <v>15.0</v>
      </c>
      <c r="E63" s="19"/>
      <c r="F63" s="5"/>
      <c r="H63" s="19"/>
      <c r="O63" s="5"/>
      <c r="Q63" s="5"/>
      <c r="R63" s="9"/>
    </row>
    <row r="64">
      <c r="A64" s="39">
        <v>46050.0</v>
      </c>
      <c r="B64" s="4" t="s">
        <v>45</v>
      </c>
      <c r="C64" s="43">
        <v>10.0</v>
      </c>
      <c r="E64" s="19"/>
      <c r="F64" s="5"/>
      <c r="H64" s="19"/>
      <c r="O64" s="5"/>
      <c r="Q64" s="5"/>
      <c r="R64" s="9"/>
    </row>
    <row r="65">
      <c r="A65" s="39">
        <v>46051.0</v>
      </c>
      <c r="B65" s="4" t="s">
        <v>45</v>
      </c>
      <c r="C65" s="21">
        <v>7.0</v>
      </c>
      <c r="E65" s="19"/>
      <c r="F65" s="5"/>
      <c r="H65" s="19"/>
      <c r="O65" s="5"/>
      <c r="Q65" s="5"/>
      <c r="R65" s="9"/>
    </row>
    <row r="66">
      <c r="A66" s="39">
        <v>46051.0</v>
      </c>
      <c r="B66" s="4" t="s">
        <v>45</v>
      </c>
      <c r="C66" s="21">
        <v>59.0</v>
      </c>
      <c r="E66" s="19"/>
      <c r="F66" s="5"/>
      <c r="H66" s="19"/>
      <c r="O66" s="5"/>
      <c r="Q66" s="5"/>
      <c r="R66" s="9"/>
    </row>
    <row r="67">
      <c r="A67" s="39">
        <v>46052.0</v>
      </c>
      <c r="B67" s="4" t="s">
        <v>90</v>
      </c>
      <c r="C67" s="21">
        <v>20.0</v>
      </c>
      <c r="E67" s="19"/>
      <c r="F67" s="5"/>
      <c r="H67" s="19"/>
      <c r="O67" s="5"/>
      <c r="Q67" s="5"/>
      <c r="R67" s="9"/>
    </row>
    <row r="68">
      <c r="A68" s="39">
        <v>46052.0</v>
      </c>
      <c r="B68" s="4" t="s">
        <v>90</v>
      </c>
      <c r="C68" s="21">
        <v>76.0</v>
      </c>
      <c r="E68" s="19"/>
      <c r="F68" s="5"/>
      <c r="H68" s="19"/>
      <c r="O68" s="5"/>
      <c r="Q68" s="5"/>
      <c r="R68" s="9"/>
    </row>
    <row r="69">
      <c r="A69" s="39">
        <v>46052.0</v>
      </c>
      <c r="B69" s="4" t="s">
        <v>45</v>
      </c>
      <c r="C69" s="21">
        <v>4.0</v>
      </c>
      <c r="E69" s="19"/>
      <c r="F69" s="5"/>
      <c r="H69" s="19"/>
      <c r="O69" s="5"/>
      <c r="Q69" s="5"/>
      <c r="R69" s="9"/>
    </row>
    <row r="70">
      <c r="A70" s="39">
        <v>46053.0</v>
      </c>
      <c r="B70" s="4" t="s">
        <v>124</v>
      </c>
      <c r="C70" s="21">
        <v>5.0</v>
      </c>
      <c r="E70" s="19"/>
      <c r="F70" s="5"/>
      <c r="H70" s="19"/>
      <c r="O70" s="5"/>
      <c r="Q70" s="5"/>
      <c r="R70" s="9"/>
    </row>
    <row r="71">
      <c r="A71" s="39"/>
      <c r="C71" s="21"/>
      <c r="E71" s="19"/>
      <c r="F71" s="5"/>
      <c r="H71" s="19"/>
      <c r="O71" s="5"/>
      <c r="Q71" s="5"/>
      <c r="R71" s="9"/>
    </row>
    <row r="72">
      <c r="A72" s="39"/>
      <c r="C72" s="21"/>
      <c r="E72" s="19"/>
      <c r="F72" s="5"/>
      <c r="H72" s="19"/>
      <c r="O72" s="5"/>
      <c r="Q72" s="5"/>
      <c r="R72" s="9"/>
    </row>
    <row r="73">
      <c r="A73" s="39"/>
      <c r="C73" s="21"/>
      <c r="E73" s="19"/>
      <c r="F73" s="5"/>
      <c r="H73" s="19"/>
      <c r="O73" s="5"/>
      <c r="Q73" s="5"/>
      <c r="R73" s="9"/>
    </row>
    <row r="74">
      <c r="A74" s="39"/>
      <c r="C74" s="21"/>
      <c r="E74" s="19"/>
      <c r="F74" s="5"/>
      <c r="H74" s="19"/>
      <c r="O74" s="5"/>
      <c r="Q74" s="5"/>
      <c r="R74" s="9"/>
    </row>
    <row r="75">
      <c r="A75" s="39"/>
      <c r="C75" s="21"/>
      <c r="E75" s="19"/>
      <c r="F75" s="5"/>
      <c r="H75" s="19"/>
      <c r="O75" s="5"/>
      <c r="Q75" s="5"/>
      <c r="R75" s="9"/>
    </row>
    <row r="76">
      <c r="A76" s="39"/>
      <c r="C76" s="21"/>
      <c r="E76" s="19"/>
      <c r="F76" s="5"/>
      <c r="H76" s="19"/>
      <c r="O76" s="5"/>
      <c r="Q76" s="5"/>
      <c r="R76" s="9"/>
    </row>
    <row r="77">
      <c r="A77" s="39"/>
      <c r="C77" s="21"/>
      <c r="E77" s="19"/>
      <c r="F77" s="5"/>
      <c r="H77" s="19"/>
      <c r="O77" s="5"/>
      <c r="Q77" s="5"/>
      <c r="R77" s="9"/>
    </row>
    <row r="78">
      <c r="A78" s="39"/>
      <c r="C78" s="21"/>
      <c r="E78" s="19"/>
      <c r="F78" s="5"/>
      <c r="H78" s="19"/>
      <c r="O78" s="5"/>
      <c r="Q78" s="5"/>
      <c r="R78" s="9"/>
    </row>
    <row r="79">
      <c r="A79" s="39"/>
      <c r="C79" s="5"/>
      <c r="E79" s="19"/>
      <c r="F79" s="5"/>
      <c r="H79" s="19"/>
      <c r="O79" s="5"/>
      <c r="Q79" s="5"/>
      <c r="R79" s="9"/>
    </row>
    <row r="80">
      <c r="A80" s="39"/>
      <c r="C80" s="21"/>
      <c r="E80" s="19"/>
      <c r="F80" s="5"/>
      <c r="H80" s="19"/>
      <c r="O80" s="5"/>
      <c r="Q80" s="5"/>
      <c r="R80" s="9"/>
    </row>
    <row r="81">
      <c r="A81" s="39"/>
      <c r="C81" s="21"/>
      <c r="E81" s="19"/>
      <c r="F81" s="5"/>
      <c r="H81" s="19"/>
      <c r="O81" s="5"/>
      <c r="Q81" s="5"/>
      <c r="R81" s="9"/>
    </row>
    <row r="82">
      <c r="A82" s="39"/>
      <c r="C82" s="21"/>
      <c r="E82" s="19"/>
      <c r="F82" s="5"/>
      <c r="H82" s="19"/>
      <c r="O82" s="5"/>
      <c r="Q82" s="5"/>
      <c r="R82" s="9"/>
    </row>
    <row r="83">
      <c r="A83" s="39"/>
      <c r="C83" s="21"/>
      <c r="E83" s="19"/>
      <c r="F83" s="5"/>
      <c r="H83" s="19"/>
      <c r="O83" s="5"/>
      <c r="Q83" s="5"/>
      <c r="R83" s="9"/>
    </row>
    <row r="84">
      <c r="A84" s="39"/>
      <c r="C84" s="21"/>
      <c r="E84" s="19"/>
      <c r="F84" s="5"/>
      <c r="H84" s="19"/>
      <c r="O84" s="5"/>
      <c r="Q84" s="5"/>
      <c r="R84" s="9"/>
    </row>
    <row r="85">
      <c r="A85" s="39"/>
      <c r="C85" s="21"/>
      <c r="E85" s="19"/>
      <c r="F85" s="5"/>
      <c r="H85" s="19"/>
      <c r="O85" s="5"/>
      <c r="Q85" s="5"/>
      <c r="R85" s="9"/>
    </row>
    <row r="86">
      <c r="A86" s="39"/>
      <c r="C86" s="21"/>
      <c r="E86" s="19"/>
      <c r="F86" s="5"/>
      <c r="H86" s="19"/>
      <c r="O86" s="5"/>
      <c r="Q86" s="5"/>
      <c r="R86" s="9"/>
    </row>
    <row r="87">
      <c r="A87" s="39"/>
      <c r="C87" s="21"/>
      <c r="E87" s="19"/>
      <c r="F87" s="5"/>
      <c r="H87" s="19"/>
      <c r="O87" s="5"/>
      <c r="Q87" s="5"/>
      <c r="R87" s="9"/>
    </row>
    <row r="88">
      <c r="A88" s="39"/>
      <c r="C88" s="21"/>
      <c r="E88" s="19"/>
      <c r="F88" s="5"/>
      <c r="H88" s="19"/>
      <c r="O88" s="5"/>
      <c r="Q88" s="5"/>
      <c r="R88" s="9"/>
    </row>
    <row r="89">
      <c r="A89" s="39"/>
      <c r="C89" s="21"/>
      <c r="E89" s="19"/>
      <c r="F89" s="5"/>
      <c r="H89" s="19"/>
      <c r="O89" s="5"/>
      <c r="Q89" s="5"/>
      <c r="R89" s="9"/>
    </row>
    <row r="90">
      <c r="A90" s="39"/>
      <c r="C90" s="21"/>
      <c r="E90" s="19"/>
      <c r="F90" s="5"/>
      <c r="H90" s="19"/>
      <c r="O90" s="5"/>
      <c r="Q90" s="5"/>
      <c r="R90" s="9"/>
    </row>
    <row r="91">
      <c r="A91" s="39"/>
      <c r="C91" s="21"/>
      <c r="E91" s="19"/>
      <c r="F91" s="5"/>
      <c r="H91" s="19"/>
      <c r="O91" s="5"/>
      <c r="Q91" s="5"/>
      <c r="R91" s="9"/>
    </row>
    <row r="92">
      <c r="A92" s="39"/>
      <c r="C92" s="21"/>
      <c r="E92" s="19"/>
      <c r="F92" s="5"/>
      <c r="H92" s="19"/>
      <c r="O92" s="5"/>
      <c r="Q92" s="5"/>
      <c r="R92" s="9"/>
    </row>
    <row r="93">
      <c r="A93" s="39"/>
      <c r="C93" s="21"/>
      <c r="E93" s="19"/>
      <c r="F93" s="5"/>
      <c r="H93" s="19"/>
      <c r="O93" s="5"/>
      <c r="Q93" s="5"/>
      <c r="R93" s="9"/>
    </row>
    <row r="94">
      <c r="A94" s="39"/>
      <c r="C94" s="21"/>
      <c r="E94" s="19"/>
      <c r="F94" s="5"/>
      <c r="H94" s="19"/>
      <c r="O94" s="5"/>
      <c r="Q94" s="5"/>
      <c r="R94" s="9"/>
    </row>
    <row r="95">
      <c r="A95" s="39"/>
      <c r="C95" s="21"/>
      <c r="E95" s="19"/>
      <c r="F95" s="5"/>
      <c r="H95" s="19"/>
      <c r="O95" s="5"/>
      <c r="Q95" s="5"/>
      <c r="R95" s="9"/>
    </row>
    <row r="96">
      <c r="A96" s="39"/>
      <c r="C96" s="21"/>
      <c r="E96" s="19"/>
      <c r="F96" s="5"/>
      <c r="H96" s="19"/>
      <c r="O96" s="5"/>
      <c r="Q96" s="5"/>
      <c r="R96" s="9"/>
    </row>
    <row r="97">
      <c r="A97" s="39"/>
      <c r="C97" s="21"/>
      <c r="E97" s="19"/>
      <c r="F97" s="5"/>
      <c r="H97" s="19"/>
      <c r="O97" s="5"/>
      <c r="Q97" s="5"/>
      <c r="R97" s="9"/>
    </row>
    <row r="98">
      <c r="A98" s="39"/>
      <c r="C98" s="21"/>
      <c r="E98" s="19"/>
      <c r="F98" s="5"/>
      <c r="H98" s="19"/>
      <c r="O98" s="5"/>
      <c r="Q98" s="5"/>
      <c r="R98" s="9"/>
    </row>
    <row r="99">
      <c r="A99" s="39"/>
      <c r="C99" s="21"/>
      <c r="E99" s="19"/>
      <c r="F99" s="5"/>
      <c r="H99" s="19"/>
      <c r="O99" s="5"/>
      <c r="Q99" s="5"/>
      <c r="R99" s="9"/>
    </row>
    <row r="100">
      <c r="A100" s="44"/>
      <c r="C100" s="5"/>
      <c r="E100" s="19"/>
      <c r="F100" s="5"/>
      <c r="H100" s="19"/>
      <c r="O100" s="5"/>
      <c r="Q100" s="5"/>
      <c r="R100" s="9"/>
    </row>
    <row r="101">
      <c r="A101" s="44"/>
      <c r="C101" s="5"/>
      <c r="E101" s="19"/>
      <c r="F101" s="5"/>
      <c r="H101" s="19"/>
      <c r="O101" s="5"/>
      <c r="Q101" s="5"/>
      <c r="R101" s="9"/>
    </row>
    <row r="102">
      <c r="A102" s="44"/>
      <c r="C102" s="5"/>
      <c r="E102" s="19"/>
      <c r="F102" s="5"/>
      <c r="H102" s="19"/>
      <c r="O102" s="5"/>
      <c r="Q102" s="5"/>
      <c r="R102" s="9"/>
    </row>
    <row r="103">
      <c r="A103" s="44"/>
      <c r="C103" s="5"/>
      <c r="E103" s="19"/>
      <c r="F103" s="5"/>
      <c r="H103" s="19"/>
      <c r="O103" s="5"/>
      <c r="Q103" s="5"/>
      <c r="R103" s="9"/>
    </row>
    <row r="104">
      <c r="A104" s="44"/>
      <c r="C104" s="5"/>
      <c r="E104" s="19"/>
      <c r="F104" s="5"/>
      <c r="H104" s="19"/>
      <c r="O104" s="5"/>
      <c r="Q104" s="5"/>
      <c r="R104" s="9"/>
    </row>
    <row r="105">
      <c r="A105" s="44"/>
      <c r="C105" s="5"/>
      <c r="E105" s="19"/>
      <c r="F105" s="5"/>
      <c r="H105" s="19"/>
      <c r="O105" s="5"/>
      <c r="Q105" s="5"/>
      <c r="R105" s="9"/>
    </row>
    <row r="106">
      <c r="A106" s="44"/>
      <c r="C106" s="5"/>
      <c r="E106" s="19"/>
      <c r="F106" s="5"/>
      <c r="H106" s="19"/>
      <c r="O106" s="5"/>
      <c r="Q106" s="5"/>
      <c r="R106" s="9"/>
    </row>
    <row r="107">
      <c r="A107" s="44"/>
      <c r="C107" s="5"/>
      <c r="E107" s="19"/>
      <c r="F107" s="5"/>
      <c r="H107" s="19"/>
      <c r="O107" s="5"/>
      <c r="Q107" s="5"/>
      <c r="R107" s="9"/>
    </row>
    <row r="108">
      <c r="A108" s="44"/>
      <c r="C108" s="5"/>
      <c r="E108" s="19"/>
      <c r="F108" s="5"/>
      <c r="H108" s="19"/>
      <c r="O108" s="5"/>
      <c r="Q108" s="5"/>
      <c r="R108" s="9"/>
    </row>
    <row r="109">
      <c r="A109" s="44"/>
      <c r="C109" s="5"/>
      <c r="E109" s="19"/>
      <c r="F109" s="5"/>
      <c r="H109" s="19"/>
      <c r="O109" s="5"/>
      <c r="Q109" s="5"/>
      <c r="R109" s="9"/>
    </row>
    <row r="110">
      <c r="A110" s="44"/>
      <c r="C110" s="5"/>
      <c r="E110" s="19"/>
      <c r="F110" s="5"/>
      <c r="H110" s="19"/>
      <c r="O110" s="5"/>
      <c r="Q110" s="5"/>
      <c r="R110" s="9"/>
    </row>
    <row r="111">
      <c r="A111" s="44"/>
      <c r="C111" s="5"/>
      <c r="E111" s="19"/>
      <c r="F111" s="5"/>
      <c r="H111" s="19"/>
      <c r="O111" s="5"/>
      <c r="Q111" s="5"/>
      <c r="R111" s="9"/>
    </row>
    <row r="112">
      <c r="A112" s="44"/>
      <c r="C112" s="5"/>
      <c r="E112" s="19"/>
      <c r="F112" s="5"/>
      <c r="H112" s="19"/>
      <c r="O112" s="5"/>
      <c r="Q112" s="5"/>
      <c r="R112" s="9"/>
    </row>
    <row r="113">
      <c r="A113" s="44"/>
      <c r="C113" s="5"/>
      <c r="E113" s="19"/>
      <c r="F113" s="5"/>
      <c r="H113" s="19"/>
      <c r="O113" s="5"/>
      <c r="Q113" s="5"/>
      <c r="R113" s="9"/>
    </row>
    <row r="114">
      <c r="A114" s="44"/>
      <c r="C114" s="5"/>
      <c r="E114" s="19"/>
      <c r="F114" s="5"/>
      <c r="H114" s="19"/>
      <c r="O114" s="5"/>
      <c r="Q114" s="5"/>
      <c r="R114" s="9"/>
    </row>
    <row r="115">
      <c r="A115" s="44"/>
      <c r="C115" s="5"/>
      <c r="E115" s="19"/>
      <c r="F115" s="5"/>
      <c r="H115" s="19"/>
      <c r="O115" s="5"/>
      <c r="Q115" s="5"/>
      <c r="R115" s="9"/>
    </row>
    <row r="116">
      <c r="A116" s="44"/>
      <c r="C116" s="5"/>
      <c r="E116" s="19"/>
      <c r="F116" s="5"/>
      <c r="H116" s="19"/>
      <c r="O116" s="5"/>
      <c r="Q116" s="5"/>
      <c r="R116" s="9"/>
    </row>
    <row r="117">
      <c r="A117" s="44"/>
      <c r="C117" s="5"/>
      <c r="E117" s="19"/>
      <c r="F117" s="5"/>
      <c r="H117" s="19"/>
      <c r="O117" s="5"/>
      <c r="Q117" s="5"/>
      <c r="R117" s="9"/>
    </row>
    <row r="118">
      <c r="A118" s="44"/>
      <c r="C118" s="5"/>
      <c r="E118" s="19"/>
      <c r="F118" s="5"/>
      <c r="H118" s="19"/>
      <c r="O118" s="5"/>
      <c r="Q118" s="5"/>
      <c r="R118" s="9"/>
    </row>
    <row r="119">
      <c r="A119" s="44"/>
      <c r="C119" s="5"/>
      <c r="E119" s="19"/>
      <c r="F119" s="5"/>
      <c r="H119" s="19"/>
      <c r="O119" s="5"/>
      <c r="Q119" s="5"/>
      <c r="R119" s="9"/>
    </row>
    <row r="120">
      <c r="A120" s="44"/>
      <c r="C120" s="5"/>
      <c r="E120" s="19"/>
      <c r="F120" s="5"/>
      <c r="H120" s="19"/>
      <c r="O120" s="5"/>
      <c r="Q120" s="5"/>
      <c r="R120" s="9"/>
    </row>
    <row r="121">
      <c r="A121" s="44"/>
      <c r="C121" s="5"/>
      <c r="E121" s="19"/>
      <c r="F121" s="5"/>
      <c r="H121" s="19"/>
      <c r="O121" s="5"/>
      <c r="Q121" s="5"/>
      <c r="R121" s="9"/>
    </row>
    <row r="122">
      <c r="A122" s="44"/>
      <c r="C122" s="5"/>
      <c r="E122" s="19"/>
      <c r="F122" s="5"/>
      <c r="H122" s="19"/>
      <c r="O122" s="5"/>
      <c r="Q122" s="5"/>
      <c r="R122" s="9"/>
    </row>
    <row r="123">
      <c r="A123" s="44"/>
      <c r="C123" s="5"/>
      <c r="E123" s="19"/>
      <c r="F123" s="5"/>
      <c r="H123" s="19"/>
      <c r="O123" s="5"/>
      <c r="Q123" s="5"/>
      <c r="R123" s="9"/>
    </row>
    <row r="124">
      <c r="A124" s="44"/>
      <c r="C124" s="5"/>
      <c r="E124" s="19"/>
      <c r="F124" s="5"/>
      <c r="H124" s="19"/>
      <c r="O124" s="5"/>
      <c r="Q124" s="5"/>
      <c r="R124" s="9"/>
    </row>
    <row r="125">
      <c r="A125" s="44"/>
      <c r="C125" s="5"/>
      <c r="E125" s="19"/>
      <c r="F125" s="5"/>
      <c r="H125" s="19"/>
      <c r="O125" s="5"/>
      <c r="Q125" s="5"/>
      <c r="R125" s="9"/>
    </row>
    <row r="126">
      <c r="A126" s="44"/>
      <c r="C126" s="5"/>
      <c r="E126" s="19"/>
      <c r="F126" s="5"/>
      <c r="H126" s="19"/>
      <c r="O126" s="5"/>
      <c r="Q126" s="5"/>
      <c r="R126" s="9"/>
    </row>
    <row r="127">
      <c r="A127" s="44"/>
      <c r="C127" s="5"/>
      <c r="E127" s="19"/>
      <c r="F127" s="5"/>
      <c r="H127" s="19"/>
      <c r="O127" s="5"/>
      <c r="Q127" s="5"/>
      <c r="R127" s="9"/>
    </row>
    <row r="128">
      <c r="A128" s="44"/>
      <c r="C128" s="5"/>
      <c r="E128" s="19"/>
      <c r="F128" s="5"/>
      <c r="H128" s="19"/>
      <c r="O128" s="5"/>
      <c r="Q128" s="5"/>
      <c r="R128" s="9"/>
    </row>
    <row r="129">
      <c r="A129" s="44"/>
      <c r="C129" s="5"/>
      <c r="E129" s="19"/>
      <c r="F129" s="5"/>
      <c r="H129" s="19"/>
      <c r="O129" s="5"/>
      <c r="Q129" s="5"/>
      <c r="R129" s="9"/>
    </row>
    <row r="130">
      <c r="A130" s="44"/>
      <c r="C130" s="5"/>
      <c r="E130" s="19"/>
      <c r="F130" s="5"/>
      <c r="H130" s="19"/>
      <c r="O130" s="5"/>
      <c r="Q130" s="5"/>
      <c r="R130" s="9"/>
    </row>
    <row r="131">
      <c r="A131" s="44"/>
      <c r="C131" s="5"/>
      <c r="E131" s="19"/>
      <c r="F131" s="5"/>
      <c r="H131" s="19"/>
      <c r="O131" s="5"/>
      <c r="Q131" s="5"/>
      <c r="R131" s="9"/>
    </row>
    <row r="132">
      <c r="A132" s="44"/>
      <c r="C132" s="5"/>
      <c r="E132" s="19"/>
      <c r="F132" s="5"/>
      <c r="H132" s="19"/>
      <c r="O132" s="5"/>
      <c r="Q132" s="5"/>
      <c r="R132" s="9"/>
    </row>
    <row r="133">
      <c r="A133" s="44"/>
      <c r="C133" s="5"/>
      <c r="E133" s="19"/>
      <c r="F133" s="5"/>
      <c r="H133" s="19"/>
      <c r="O133" s="5"/>
      <c r="Q133" s="5"/>
      <c r="R133" s="9"/>
    </row>
    <row r="134">
      <c r="A134" s="44"/>
      <c r="C134" s="5"/>
      <c r="E134" s="19"/>
      <c r="F134" s="5"/>
      <c r="H134" s="19"/>
      <c r="O134" s="5"/>
      <c r="Q134" s="5"/>
      <c r="R134" s="9"/>
    </row>
    <row r="135">
      <c r="A135" s="44"/>
      <c r="C135" s="5"/>
      <c r="E135" s="19"/>
      <c r="F135" s="5"/>
      <c r="H135" s="19"/>
      <c r="O135" s="5"/>
      <c r="Q135" s="5"/>
      <c r="R135" s="9"/>
    </row>
    <row r="136">
      <c r="A136" s="44"/>
      <c r="C136" s="5"/>
      <c r="E136" s="19"/>
      <c r="F136" s="5"/>
      <c r="H136" s="19"/>
      <c r="O136" s="5"/>
      <c r="Q136" s="5"/>
      <c r="R136" s="9"/>
    </row>
    <row r="137">
      <c r="A137" s="44"/>
      <c r="C137" s="5"/>
      <c r="E137" s="19"/>
      <c r="F137" s="5"/>
      <c r="H137" s="19"/>
      <c r="O137" s="5"/>
      <c r="Q137" s="5"/>
      <c r="R137" s="9"/>
    </row>
    <row r="138">
      <c r="A138" s="44"/>
      <c r="C138" s="5"/>
      <c r="E138" s="19"/>
      <c r="F138" s="5"/>
      <c r="H138" s="19"/>
      <c r="O138" s="5"/>
      <c r="Q138" s="5"/>
      <c r="R138" s="9"/>
    </row>
    <row r="139">
      <c r="A139" s="44"/>
      <c r="C139" s="5"/>
      <c r="E139" s="19"/>
      <c r="F139" s="5"/>
      <c r="H139" s="19"/>
      <c r="O139" s="5"/>
      <c r="Q139" s="5"/>
      <c r="R139" s="9"/>
    </row>
    <row r="140">
      <c r="A140" s="44"/>
      <c r="C140" s="5"/>
      <c r="E140" s="19"/>
      <c r="F140" s="5"/>
      <c r="H140" s="19"/>
      <c r="O140" s="5"/>
      <c r="Q140" s="5"/>
      <c r="R140" s="9"/>
    </row>
    <row r="141">
      <c r="A141" s="44"/>
      <c r="C141" s="5"/>
      <c r="E141" s="19"/>
      <c r="F141" s="5"/>
      <c r="H141" s="19"/>
      <c r="O141" s="5"/>
      <c r="Q141" s="5"/>
      <c r="R141" s="9"/>
    </row>
    <row r="142">
      <c r="A142" s="44"/>
      <c r="C142" s="5"/>
      <c r="E142" s="19"/>
      <c r="F142" s="5"/>
      <c r="H142" s="19"/>
      <c r="O142" s="5"/>
      <c r="Q142" s="5"/>
      <c r="R142" s="9"/>
    </row>
    <row r="143">
      <c r="A143" s="44"/>
      <c r="C143" s="5"/>
      <c r="E143" s="19"/>
      <c r="F143" s="5"/>
      <c r="H143" s="19"/>
      <c r="O143" s="5"/>
      <c r="Q143" s="5"/>
      <c r="R143" s="9"/>
    </row>
    <row r="144">
      <c r="A144" s="44"/>
      <c r="C144" s="5"/>
      <c r="E144" s="19"/>
      <c r="F144" s="5"/>
      <c r="H144" s="19"/>
      <c r="O144" s="5"/>
      <c r="Q144" s="5"/>
      <c r="R144" s="9"/>
    </row>
    <row r="145">
      <c r="A145" s="44"/>
      <c r="C145" s="5"/>
      <c r="E145" s="19"/>
      <c r="F145" s="5"/>
      <c r="H145" s="19"/>
      <c r="O145" s="5"/>
      <c r="Q145" s="5"/>
      <c r="R145" s="9"/>
    </row>
    <row r="146">
      <c r="A146" s="44"/>
      <c r="C146" s="5"/>
      <c r="E146" s="19"/>
      <c r="F146" s="5"/>
      <c r="H146" s="19"/>
      <c r="O146" s="5"/>
      <c r="Q146" s="5"/>
      <c r="R146" s="9"/>
    </row>
    <row r="147">
      <c r="A147" s="44"/>
      <c r="C147" s="5"/>
      <c r="E147" s="19"/>
      <c r="F147" s="5"/>
      <c r="H147" s="19"/>
      <c r="O147" s="5"/>
      <c r="Q147" s="5"/>
      <c r="R147" s="9"/>
    </row>
    <row r="148">
      <c r="A148" s="44"/>
      <c r="C148" s="5"/>
      <c r="E148" s="19"/>
      <c r="F148" s="5"/>
      <c r="H148" s="19"/>
      <c r="O148" s="5"/>
      <c r="Q148" s="5"/>
      <c r="R148" s="9"/>
    </row>
    <row r="149">
      <c r="A149" s="44"/>
      <c r="C149" s="5"/>
      <c r="E149" s="19"/>
      <c r="F149" s="5"/>
      <c r="H149" s="19"/>
      <c r="O149" s="5"/>
      <c r="Q149" s="5"/>
      <c r="R149" s="9"/>
    </row>
    <row r="150">
      <c r="A150" s="44"/>
      <c r="C150" s="5"/>
      <c r="E150" s="19"/>
      <c r="F150" s="5"/>
      <c r="H150" s="19"/>
      <c r="O150" s="5"/>
      <c r="Q150" s="5"/>
      <c r="R150" s="9"/>
    </row>
    <row r="151">
      <c r="A151" s="44"/>
      <c r="C151" s="5"/>
      <c r="E151" s="19"/>
      <c r="F151" s="5"/>
      <c r="H151" s="19"/>
      <c r="O151" s="5"/>
      <c r="Q151" s="5"/>
      <c r="R151" s="9"/>
    </row>
    <row r="152">
      <c r="A152" s="44"/>
      <c r="C152" s="5"/>
      <c r="E152" s="19"/>
      <c r="F152" s="5"/>
      <c r="H152" s="19"/>
      <c r="O152" s="5"/>
      <c r="Q152" s="5"/>
      <c r="R152" s="9"/>
    </row>
    <row r="153">
      <c r="A153" s="44"/>
      <c r="C153" s="5"/>
      <c r="E153" s="19"/>
      <c r="F153" s="5"/>
      <c r="H153" s="19"/>
      <c r="O153" s="5"/>
      <c r="Q153" s="5"/>
      <c r="R153" s="9"/>
    </row>
    <row r="154">
      <c r="A154" s="44"/>
      <c r="C154" s="5"/>
      <c r="E154" s="19"/>
      <c r="F154" s="5"/>
      <c r="H154" s="19"/>
      <c r="O154" s="5"/>
      <c r="Q154" s="5"/>
      <c r="R154" s="9"/>
    </row>
    <row r="155">
      <c r="A155" s="44"/>
      <c r="C155" s="5"/>
      <c r="E155" s="19"/>
      <c r="F155" s="5"/>
      <c r="H155" s="19"/>
      <c r="O155" s="5"/>
      <c r="Q155" s="5"/>
      <c r="R155" s="9"/>
    </row>
    <row r="156">
      <c r="A156" s="44"/>
      <c r="C156" s="5"/>
      <c r="E156" s="19"/>
      <c r="F156" s="5"/>
      <c r="H156" s="19"/>
      <c r="O156" s="5"/>
      <c r="Q156" s="5"/>
      <c r="R156" s="9"/>
    </row>
    <row r="157">
      <c r="A157" s="44"/>
      <c r="C157" s="5"/>
      <c r="E157" s="19"/>
      <c r="F157" s="5"/>
      <c r="H157" s="19"/>
      <c r="O157" s="5"/>
      <c r="Q157" s="5"/>
      <c r="R157" s="9"/>
    </row>
    <row r="158">
      <c r="A158" s="44"/>
      <c r="C158" s="5"/>
      <c r="E158" s="19"/>
      <c r="F158" s="5"/>
      <c r="H158" s="19"/>
      <c r="O158" s="5"/>
      <c r="Q158" s="5"/>
      <c r="R158" s="9"/>
    </row>
    <row r="159">
      <c r="A159" s="44"/>
      <c r="C159" s="5"/>
      <c r="E159" s="19"/>
      <c r="F159" s="5"/>
      <c r="H159" s="19"/>
      <c r="O159" s="5"/>
      <c r="Q159" s="5"/>
      <c r="R159" s="9"/>
    </row>
    <row r="160">
      <c r="A160" s="44"/>
      <c r="C160" s="5"/>
      <c r="E160" s="19"/>
      <c r="F160" s="5"/>
      <c r="H160" s="19"/>
      <c r="O160" s="5"/>
      <c r="Q160" s="5"/>
      <c r="R160" s="9"/>
    </row>
    <row r="161">
      <c r="A161" s="44"/>
      <c r="C161" s="5"/>
      <c r="E161" s="19"/>
      <c r="F161" s="5"/>
      <c r="H161" s="19"/>
      <c r="O161" s="5"/>
      <c r="Q161" s="5"/>
      <c r="R161" s="9"/>
    </row>
    <row r="162">
      <c r="A162" s="44"/>
      <c r="C162" s="5"/>
      <c r="E162" s="19"/>
      <c r="F162" s="5"/>
      <c r="H162" s="19"/>
      <c r="O162" s="5"/>
      <c r="Q162" s="5"/>
      <c r="R162" s="9"/>
    </row>
    <row r="163">
      <c r="A163" s="44"/>
      <c r="C163" s="5"/>
      <c r="E163" s="19"/>
      <c r="F163" s="5"/>
      <c r="H163" s="19"/>
      <c r="O163" s="5"/>
      <c r="Q163" s="5"/>
      <c r="R163" s="9"/>
    </row>
    <row r="164">
      <c r="A164" s="44"/>
      <c r="C164" s="5"/>
      <c r="E164" s="19"/>
      <c r="F164" s="5"/>
      <c r="H164" s="19"/>
      <c r="O164" s="5"/>
      <c r="Q164" s="5"/>
      <c r="R164" s="9"/>
    </row>
    <row r="165">
      <c r="A165" s="44"/>
      <c r="C165" s="5"/>
      <c r="E165" s="19"/>
      <c r="F165" s="5"/>
      <c r="H165" s="19"/>
      <c r="O165" s="5"/>
      <c r="Q165" s="5"/>
      <c r="R165" s="9"/>
    </row>
    <row r="166">
      <c r="A166" s="44"/>
      <c r="C166" s="5"/>
      <c r="E166" s="19"/>
      <c r="F166" s="5"/>
      <c r="H166" s="19"/>
      <c r="O166" s="5"/>
      <c r="Q166" s="5"/>
      <c r="R166" s="9"/>
    </row>
    <row r="167">
      <c r="A167" s="44"/>
      <c r="C167" s="5"/>
      <c r="E167" s="19"/>
      <c r="F167" s="5"/>
      <c r="H167" s="19"/>
      <c r="O167" s="5"/>
      <c r="Q167" s="5"/>
      <c r="R167" s="9"/>
    </row>
    <row r="168">
      <c r="A168" s="44"/>
      <c r="C168" s="5"/>
      <c r="E168" s="19"/>
      <c r="F168" s="5"/>
      <c r="H168" s="19"/>
      <c r="O168" s="5"/>
      <c r="Q168" s="5"/>
      <c r="R168" s="9"/>
    </row>
    <row r="169">
      <c r="A169" s="44"/>
      <c r="C169" s="5"/>
      <c r="E169" s="19"/>
      <c r="F169" s="5"/>
      <c r="H169" s="19"/>
      <c r="O169" s="5"/>
      <c r="Q169" s="5"/>
      <c r="R169" s="9"/>
    </row>
    <row r="170">
      <c r="A170" s="44"/>
      <c r="C170" s="5"/>
      <c r="E170" s="19"/>
      <c r="F170" s="5"/>
      <c r="H170" s="19"/>
      <c r="O170" s="5"/>
      <c r="Q170" s="5"/>
      <c r="R170" s="9"/>
    </row>
    <row r="171">
      <c r="A171" s="44"/>
      <c r="C171" s="5"/>
      <c r="E171" s="19"/>
      <c r="F171" s="5"/>
      <c r="H171" s="19"/>
      <c r="O171" s="5"/>
      <c r="Q171" s="5"/>
      <c r="R171" s="9"/>
    </row>
    <row r="172">
      <c r="A172" s="44"/>
      <c r="C172" s="5"/>
      <c r="E172" s="19"/>
      <c r="F172" s="5"/>
      <c r="H172" s="19"/>
      <c r="O172" s="5"/>
      <c r="Q172" s="5"/>
      <c r="R172" s="9"/>
    </row>
    <row r="173">
      <c r="A173" s="44"/>
      <c r="C173" s="5"/>
      <c r="E173" s="19"/>
      <c r="F173" s="5"/>
      <c r="H173" s="19"/>
      <c r="O173" s="5"/>
      <c r="Q173" s="5"/>
      <c r="R173" s="9"/>
    </row>
    <row r="174">
      <c r="A174" s="44"/>
      <c r="C174" s="5"/>
      <c r="E174" s="19"/>
      <c r="F174" s="5"/>
      <c r="H174" s="19"/>
      <c r="O174" s="5"/>
      <c r="Q174" s="5"/>
      <c r="R174" s="9"/>
    </row>
    <row r="175">
      <c r="A175" s="44"/>
      <c r="C175" s="5"/>
      <c r="E175" s="19"/>
      <c r="F175" s="5"/>
      <c r="H175" s="19"/>
      <c r="O175" s="5"/>
      <c r="Q175" s="5"/>
      <c r="R175" s="9"/>
    </row>
    <row r="176">
      <c r="A176" s="44"/>
      <c r="C176" s="5"/>
      <c r="E176" s="19"/>
      <c r="F176" s="5"/>
      <c r="H176" s="19"/>
      <c r="O176" s="5"/>
      <c r="Q176" s="5"/>
      <c r="R176" s="9"/>
    </row>
    <row r="177">
      <c r="A177" s="44"/>
      <c r="C177" s="5"/>
      <c r="E177" s="19"/>
      <c r="F177" s="5"/>
      <c r="H177" s="19"/>
      <c r="O177" s="5"/>
      <c r="Q177" s="5"/>
      <c r="R177" s="9"/>
    </row>
    <row r="178">
      <c r="A178" s="44"/>
      <c r="C178" s="5"/>
      <c r="E178" s="19"/>
      <c r="F178" s="5"/>
      <c r="H178" s="19"/>
      <c r="O178" s="5"/>
      <c r="Q178" s="5"/>
      <c r="R178" s="9"/>
    </row>
    <row r="179">
      <c r="A179" s="44"/>
      <c r="C179" s="5"/>
      <c r="E179" s="19"/>
      <c r="F179" s="5"/>
      <c r="H179" s="19"/>
      <c r="O179" s="5"/>
      <c r="Q179" s="5"/>
      <c r="R179" s="9"/>
    </row>
    <row r="180">
      <c r="A180" s="44"/>
      <c r="C180" s="5"/>
      <c r="E180" s="19"/>
      <c r="F180" s="5"/>
      <c r="H180" s="19"/>
      <c r="O180" s="5"/>
      <c r="Q180" s="5"/>
      <c r="R180" s="9"/>
    </row>
    <row r="181">
      <c r="A181" s="44"/>
      <c r="C181" s="5"/>
      <c r="E181" s="19"/>
      <c r="F181" s="5"/>
      <c r="H181" s="19"/>
      <c r="O181" s="5"/>
      <c r="Q181" s="5"/>
      <c r="R181" s="9"/>
    </row>
    <row r="182">
      <c r="A182" s="44"/>
      <c r="C182" s="5"/>
      <c r="E182" s="19"/>
      <c r="F182" s="5"/>
      <c r="H182" s="19"/>
      <c r="O182" s="5"/>
      <c r="Q182" s="5"/>
      <c r="R182" s="9"/>
    </row>
    <row r="183">
      <c r="A183" s="44"/>
      <c r="C183" s="5"/>
      <c r="E183" s="19"/>
      <c r="F183" s="5"/>
      <c r="H183" s="19"/>
      <c r="O183" s="5"/>
      <c r="Q183" s="5"/>
      <c r="R183" s="9"/>
    </row>
    <row r="184">
      <c r="A184" s="44"/>
      <c r="C184" s="5"/>
      <c r="E184" s="19"/>
      <c r="F184" s="5"/>
      <c r="H184" s="19"/>
      <c r="O184" s="5"/>
      <c r="Q184" s="5"/>
      <c r="R184" s="9"/>
    </row>
    <row r="185">
      <c r="A185" s="44"/>
      <c r="C185" s="5"/>
      <c r="E185" s="19"/>
      <c r="F185" s="5"/>
      <c r="H185" s="19"/>
      <c r="O185" s="5"/>
      <c r="Q185" s="5"/>
      <c r="R185" s="9"/>
    </row>
    <row r="186">
      <c r="A186" s="44"/>
      <c r="C186" s="5"/>
      <c r="E186" s="19"/>
      <c r="F186" s="5"/>
      <c r="H186" s="19"/>
      <c r="O186" s="5"/>
      <c r="Q186" s="5"/>
      <c r="R186" s="9"/>
    </row>
    <row r="187">
      <c r="A187" s="44"/>
      <c r="C187" s="5"/>
      <c r="E187" s="19"/>
      <c r="F187" s="5"/>
      <c r="H187" s="19"/>
      <c r="O187" s="5"/>
      <c r="Q187" s="5"/>
      <c r="R187" s="9"/>
    </row>
    <row r="188">
      <c r="A188" s="44"/>
      <c r="C188" s="5"/>
      <c r="E188" s="19"/>
      <c r="F188" s="5"/>
      <c r="H188" s="19"/>
      <c r="O188" s="5"/>
      <c r="Q188" s="5"/>
      <c r="R188" s="9"/>
    </row>
    <row r="189">
      <c r="A189" s="44"/>
      <c r="C189" s="5"/>
      <c r="E189" s="19"/>
      <c r="F189" s="5"/>
      <c r="H189" s="19"/>
      <c r="O189" s="5"/>
      <c r="Q189" s="5"/>
      <c r="R189" s="9"/>
    </row>
    <row r="190">
      <c r="A190" s="44"/>
      <c r="C190" s="5"/>
      <c r="E190" s="19"/>
      <c r="F190" s="5"/>
      <c r="H190" s="19"/>
      <c r="O190" s="5"/>
      <c r="Q190" s="5"/>
      <c r="R190" s="9"/>
    </row>
    <row r="191">
      <c r="A191" s="44"/>
      <c r="C191" s="5"/>
      <c r="E191" s="19"/>
      <c r="F191" s="5"/>
      <c r="H191" s="19"/>
      <c r="O191" s="5"/>
      <c r="Q191" s="5"/>
      <c r="R191" s="9"/>
    </row>
    <row r="192">
      <c r="A192" s="44"/>
      <c r="C192" s="5"/>
      <c r="E192" s="19"/>
      <c r="F192" s="5"/>
      <c r="H192" s="19"/>
      <c r="O192" s="5"/>
      <c r="Q192" s="5"/>
      <c r="R192" s="9"/>
    </row>
    <row r="193">
      <c r="A193" s="44"/>
      <c r="C193" s="5"/>
      <c r="E193" s="19"/>
      <c r="F193" s="5"/>
      <c r="H193" s="19"/>
      <c r="O193" s="5"/>
      <c r="Q193" s="5"/>
      <c r="R193" s="9"/>
    </row>
    <row r="194">
      <c r="A194" s="44"/>
      <c r="C194" s="5"/>
      <c r="E194" s="19"/>
      <c r="F194" s="5"/>
      <c r="H194" s="19"/>
      <c r="O194" s="5"/>
      <c r="Q194" s="5"/>
      <c r="R194" s="9"/>
    </row>
    <row r="195">
      <c r="A195" s="44"/>
      <c r="C195" s="5"/>
      <c r="E195" s="19"/>
      <c r="F195" s="5"/>
      <c r="H195" s="19"/>
      <c r="O195" s="5"/>
      <c r="Q195" s="5"/>
      <c r="R195" s="9"/>
    </row>
    <row r="196">
      <c r="A196" s="44"/>
      <c r="C196" s="5"/>
      <c r="E196" s="19"/>
      <c r="F196" s="5"/>
      <c r="H196" s="19"/>
      <c r="O196" s="5"/>
      <c r="Q196" s="5"/>
      <c r="R196" s="9"/>
    </row>
    <row r="197">
      <c r="A197" s="44"/>
      <c r="C197" s="5"/>
      <c r="E197" s="19"/>
      <c r="F197" s="5"/>
      <c r="H197" s="19"/>
      <c r="O197" s="5"/>
      <c r="Q197" s="5"/>
      <c r="R197" s="9"/>
    </row>
    <row r="198">
      <c r="A198" s="44"/>
      <c r="C198" s="5"/>
      <c r="E198" s="19"/>
      <c r="F198" s="5"/>
      <c r="H198" s="19"/>
      <c r="O198" s="5"/>
      <c r="Q198" s="5"/>
      <c r="R198" s="9"/>
    </row>
    <row r="199">
      <c r="A199" s="44"/>
      <c r="C199" s="5"/>
      <c r="E199" s="19"/>
      <c r="F199" s="5"/>
      <c r="H199" s="19"/>
      <c r="O199" s="5"/>
      <c r="Q199" s="5"/>
      <c r="R199" s="9"/>
    </row>
    <row r="200">
      <c r="A200" s="44"/>
      <c r="C200" s="5"/>
      <c r="E200" s="19"/>
      <c r="F200" s="5"/>
      <c r="H200" s="19"/>
      <c r="O200" s="5"/>
      <c r="Q200" s="5"/>
      <c r="R200" s="9"/>
    </row>
    <row r="201">
      <c r="A201" s="44"/>
      <c r="C201" s="5"/>
      <c r="E201" s="19"/>
      <c r="F201" s="5"/>
      <c r="H201" s="19"/>
      <c r="O201" s="5"/>
      <c r="Q201" s="5"/>
      <c r="R201" s="9"/>
    </row>
    <row r="202">
      <c r="A202" s="44"/>
      <c r="C202" s="5"/>
      <c r="E202" s="19"/>
      <c r="F202" s="5"/>
      <c r="H202" s="19"/>
      <c r="O202" s="5"/>
      <c r="Q202" s="5"/>
      <c r="R202" s="9"/>
    </row>
    <row r="203">
      <c r="A203" s="44"/>
      <c r="C203" s="5"/>
      <c r="E203" s="19"/>
      <c r="F203" s="5"/>
      <c r="H203" s="19"/>
      <c r="O203" s="5"/>
      <c r="Q203" s="5"/>
      <c r="R203" s="9"/>
    </row>
    <row r="204">
      <c r="A204" s="44"/>
      <c r="C204" s="5"/>
      <c r="E204" s="19"/>
      <c r="F204" s="5"/>
      <c r="H204" s="19"/>
      <c r="O204" s="5"/>
      <c r="Q204" s="5"/>
      <c r="R204" s="9"/>
    </row>
    <row r="205">
      <c r="A205" s="44"/>
      <c r="C205" s="5"/>
      <c r="E205" s="19"/>
      <c r="F205" s="5"/>
      <c r="H205" s="19"/>
      <c r="O205" s="5"/>
      <c r="Q205" s="5"/>
      <c r="R205" s="9"/>
    </row>
    <row r="206">
      <c r="A206" s="44"/>
      <c r="C206" s="5"/>
      <c r="E206" s="19"/>
      <c r="F206" s="5"/>
      <c r="H206" s="19"/>
      <c r="O206" s="5"/>
      <c r="Q206" s="5"/>
      <c r="R206" s="9"/>
    </row>
    <row r="207">
      <c r="A207" s="44"/>
      <c r="C207" s="5"/>
      <c r="E207" s="19"/>
      <c r="F207" s="5"/>
      <c r="H207" s="19"/>
      <c r="O207" s="5"/>
      <c r="Q207" s="5"/>
      <c r="R207" s="9"/>
    </row>
    <row r="208">
      <c r="A208" s="44"/>
      <c r="C208" s="5"/>
      <c r="E208" s="19"/>
      <c r="F208" s="5"/>
      <c r="H208" s="19"/>
      <c r="O208" s="5"/>
      <c r="Q208" s="5"/>
      <c r="R208" s="9"/>
    </row>
    <row r="209">
      <c r="A209" s="44"/>
      <c r="C209" s="5"/>
      <c r="E209" s="19"/>
      <c r="F209" s="5"/>
      <c r="H209" s="19"/>
      <c r="O209" s="5"/>
      <c r="Q209" s="5"/>
      <c r="R209" s="9"/>
    </row>
    <row r="210">
      <c r="A210" s="44"/>
      <c r="C210" s="5"/>
      <c r="E210" s="19"/>
      <c r="F210" s="5"/>
      <c r="H210" s="19"/>
      <c r="O210" s="5"/>
      <c r="Q210" s="5"/>
      <c r="R210" s="9"/>
    </row>
    <row r="211">
      <c r="A211" s="44"/>
      <c r="C211" s="5"/>
      <c r="E211" s="19"/>
      <c r="F211" s="5"/>
      <c r="H211" s="19"/>
      <c r="O211" s="5"/>
      <c r="Q211" s="5"/>
      <c r="R211" s="9"/>
    </row>
    <row r="212">
      <c r="A212" s="44"/>
      <c r="C212" s="5"/>
      <c r="E212" s="19"/>
      <c r="F212" s="5"/>
      <c r="H212" s="19"/>
      <c r="O212" s="5"/>
      <c r="Q212" s="5"/>
      <c r="R212" s="9"/>
    </row>
    <row r="213">
      <c r="A213" s="44"/>
      <c r="C213" s="5"/>
      <c r="E213" s="19"/>
      <c r="F213" s="5"/>
      <c r="H213" s="19"/>
      <c r="O213" s="5"/>
      <c r="Q213" s="5"/>
      <c r="R213" s="9"/>
    </row>
    <row r="214">
      <c r="A214" s="44"/>
      <c r="C214" s="5"/>
      <c r="E214" s="19"/>
      <c r="F214" s="5"/>
      <c r="H214" s="19"/>
      <c r="O214" s="5"/>
      <c r="Q214" s="5"/>
      <c r="R214" s="9"/>
    </row>
    <row r="215">
      <c r="A215" s="44"/>
      <c r="C215" s="5"/>
      <c r="E215" s="19"/>
      <c r="F215" s="5"/>
      <c r="H215" s="19"/>
      <c r="O215" s="5"/>
      <c r="Q215" s="5"/>
      <c r="R215" s="9"/>
    </row>
    <row r="216">
      <c r="A216" s="44"/>
      <c r="C216" s="5"/>
      <c r="E216" s="19"/>
      <c r="F216" s="5"/>
      <c r="H216" s="19"/>
      <c r="O216" s="5"/>
      <c r="Q216" s="5"/>
      <c r="R216" s="9"/>
    </row>
    <row r="217">
      <c r="A217" s="44"/>
      <c r="C217" s="5"/>
      <c r="E217" s="19"/>
      <c r="F217" s="5"/>
      <c r="H217" s="19"/>
      <c r="O217" s="5"/>
      <c r="Q217" s="5"/>
      <c r="R217" s="9"/>
    </row>
    <row r="218">
      <c r="A218" s="44"/>
      <c r="C218" s="5"/>
      <c r="E218" s="19"/>
      <c r="F218" s="5"/>
      <c r="H218" s="19"/>
      <c r="O218" s="5"/>
      <c r="Q218" s="5"/>
      <c r="R218" s="9"/>
    </row>
    <row r="219">
      <c r="A219" s="44"/>
      <c r="C219" s="5"/>
      <c r="E219" s="19"/>
      <c r="F219" s="5"/>
      <c r="H219" s="19"/>
      <c r="O219" s="5"/>
      <c r="Q219" s="5"/>
      <c r="R219" s="9"/>
    </row>
    <row r="220">
      <c r="A220" s="44"/>
      <c r="C220" s="5"/>
      <c r="E220" s="19"/>
      <c r="F220" s="5"/>
      <c r="H220" s="19"/>
      <c r="O220" s="5"/>
      <c r="Q220" s="5"/>
      <c r="R220" s="9"/>
    </row>
    <row r="221">
      <c r="A221" s="44"/>
      <c r="C221" s="5"/>
      <c r="E221" s="19"/>
      <c r="F221" s="5"/>
      <c r="H221" s="19"/>
      <c r="O221" s="5"/>
      <c r="Q221" s="5"/>
      <c r="R221" s="9"/>
    </row>
    <row r="222">
      <c r="A222" s="44"/>
      <c r="C222" s="5"/>
      <c r="E222" s="19"/>
      <c r="F222" s="5"/>
      <c r="H222" s="19"/>
      <c r="O222" s="5"/>
      <c r="Q222" s="5"/>
      <c r="R222" s="9"/>
    </row>
    <row r="223">
      <c r="A223" s="44"/>
      <c r="C223" s="5"/>
      <c r="E223" s="19"/>
      <c r="F223" s="5"/>
      <c r="H223" s="19"/>
      <c r="O223" s="5"/>
      <c r="Q223" s="5"/>
      <c r="R223" s="9"/>
    </row>
    <row r="224">
      <c r="A224" s="44"/>
      <c r="C224" s="5"/>
      <c r="E224" s="19"/>
      <c r="F224" s="5"/>
      <c r="H224" s="19"/>
      <c r="O224" s="5"/>
      <c r="Q224" s="5"/>
      <c r="R224" s="9"/>
    </row>
    <row r="225">
      <c r="A225" s="44"/>
      <c r="C225" s="5"/>
      <c r="E225" s="19"/>
      <c r="F225" s="5"/>
      <c r="H225" s="19"/>
      <c r="O225" s="5"/>
      <c r="Q225" s="5"/>
      <c r="R225" s="9"/>
    </row>
    <row r="226">
      <c r="A226" s="44"/>
      <c r="C226" s="5"/>
      <c r="E226" s="19"/>
      <c r="F226" s="5"/>
      <c r="H226" s="19"/>
      <c r="O226" s="5"/>
      <c r="Q226" s="5"/>
      <c r="R226" s="9"/>
    </row>
    <row r="227">
      <c r="A227" s="44"/>
      <c r="C227" s="5"/>
      <c r="E227" s="19"/>
      <c r="F227" s="5"/>
      <c r="H227" s="19"/>
      <c r="O227" s="5"/>
      <c r="Q227" s="5"/>
      <c r="R227" s="9"/>
    </row>
    <row r="228">
      <c r="A228" s="44"/>
      <c r="C228" s="5"/>
      <c r="E228" s="19"/>
      <c r="F228" s="5"/>
      <c r="H228" s="19"/>
      <c r="O228" s="5"/>
      <c r="Q228" s="5"/>
      <c r="R228" s="9"/>
    </row>
    <row r="229">
      <c r="A229" s="44"/>
      <c r="C229" s="5"/>
      <c r="E229" s="19"/>
      <c r="F229" s="5"/>
      <c r="H229" s="19"/>
      <c r="O229" s="5"/>
      <c r="Q229" s="5"/>
      <c r="R229" s="9"/>
    </row>
    <row r="230">
      <c r="A230" s="44"/>
      <c r="C230" s="5"/>
      <c r="E230" s="19"/>
      <c r="F230" s="5"/>
      <c r="H230" s="19"/>
      <c r="O230" s="5"/>
      <c r="Q230" s="5"/>
      <c r="R230" s="9"/>
    </row>
    <row r="231">
      <c r="A231" s="44"/>
      <c r="C231" s="5"/>
      <c r="E231" s="19"/>
      <c r="F231" s="5"/>
      <c r="H231" s="19"/>
      <c r="O231" s="5"/>
      <c r="Q231" s="5"/>
      <c r="R231" s="9"/>
    </row>
    <row r="232">
      <c r="A232" s="44"/>
      <c r="C232" s="5"/>
      <c r="E232" s="19"/>
      <c r="F232" s="5"/>
      <c r="H232" s="19"/>
      <c r="O232" s="5"/>
      <c r="Q232" s="5"/>
      <c r="R232" s="9"/>
    </row>
    <row r="233">
      <c r="A233" s="44"/>
      <c r="C233" s="5"/>
      <c r="E233" s="19"/>
      <c r="F233" s="5"/>
      <c r="H233" s="19"/>
      <c r="O233" s="5"/>
      <c r="Q233" s="5"/>
      <c r="R233" s="9"/>
    </row>
    <row r="234">
      <c r="A234" s="44"/>
      <c r="C234" s="5"/>
      <c r="E234" s="19"/>
      <c r="F234" s="5"/>
      <c r="H234" s="19"/>
      <c r="O234" s="5"/>
      <c r="Q234" s="5"/>
      <c r="R234" s="9"/>
    </row>
    <row r="235">
      <c r="A235" s="44"/>
      <c r="C235" s="5"/>
      <c r="E235" s="19"/>
      <c r="F235" s="5"/>
      <c r="H235" s="19"/>
      <c r="O235" s="5"/>
      <c r="Q235" s="5"/>
      <c r="R235" s="9"/>
    </row>
    <row r="236">
      <c r="A236" s="44"/>
      <c r="C236" s="5"/>
      <c r="E236" s="19"/>
      <c r="F236" s="5"/>
      <c r="H236" s="19"/>
      <c r="O236" s="5"/>
      <c r="Q236" s="5"/>
      <c r="R236" s="9"/>
    </row>
    <row r="237">
      <c r="A237" s="44"/>
      <c r="C237" s="5"/>
      <c r="E237" s="19"/>
      <c r="F237" s="5"/>
      <c r="H237" s="19"/>
      <c r="O237" s="5"/>
      <c r="Q237" s="5"/>
      <c r="R237" s="9"/>
    </row>
    <row r="238">
      <c r="A238" s="44"/>
      <c r="C238" s="5"/>
      <c r="E238" s="19"/>
      <c r="F238" s="5"/>
      <c r="H238" s="19"/>
      <c r="O238" s="5"/>
      <c r="Q238" s="5"/>
      <c r="R238" s="9"/>
    </row>
    <row r="239">
      <c r="A239" s="44"/>
      <c r="C239" s="5"/>
      <c r="E239" s="19"/>
      <c r="F239" s="5"/>
      <c r="H239" s="19"/>
      <c r="O239" s="5"/>
      <c r="Q239" s="5"/>
      <c r="R239" s="9"/>
    </row>
    <row r="240">
      <c r="A240" s="44"/>
      <c r="C240" s="5"/>
      <c r="E240" s="19"/>
      <c r="F240" s="5"/>
      <c r="H240" s="19"/>
      <c r="O240" s="5"/>
      <c r="Q240" s="5"/>
      <c r="R240" s="9"/>
    </row>
    <row r="241">
      <c r="A241" s="44"/>
      <c r="C241" s="5"/>
      <c r="E241" s="19"/>
      <c r="F241" s="5"/>
      <c r="H241" s="19"/>
      <c r="O241" s="5"/>
      <c r="Q241" s="5"/>
      <c r="R241" s="9"/>
    </row>
    <row r="242">
      <c r="A242" s="44"/>
      <c r="C242" s="5"/>
      <c r="E242" s="19"/>
      <c r="F242" s="5"/>
      <c r="H242" s="19"/>
      <c r="O242" s="5"/>
      <c r="Q242" s="5"/>
      <c r="R242" s="9"/>
    </row>
    <row r="243">
      <c r="A243" s="44"/>
      <c r="C243" s="5"/>
      <c r="E243" s="19"/>
      <c r="F243" s="5"/>
      <c r="H243" s="19"/>
      <c r="O243" s="5"/>
      <c r="Q243" s="5"/>
      <c r="R243" s="9"/>
    </row>
    <row r="244">
      <c r="A244" s="44"/>
      <c r="C244" s="5"/>
      <c r="E244" s="19"/>
      <c r="F244" s="5"/>
      <c r="H244" s="19"/>
      <c r="O244" s="5"/>
      <c r="Q244" s="5"/>
      <c r="R244" s="9"/>
    </row>
    <row r="245">
      <c r="A245" s="44"/>
      <c r="C245" s="5"/>
      <c r="E245" s="19"/>
      <c r="F245" s="5"/>
      <c r="H245" s="19"/>
      <c r="O245" s="5"/>
      <c r="Q245" s="5"/>
      <c r="R245" s="9"/>
    </row>
    <row r="246">
      <c r="A246" s="44"/>
      <c r="C246" s="5"/>
      <c r="E246" s="19"/>
      <c r="F246" s="5"/>
      <c r="H246" s="19"/>
      <c r="O246" s="5"/>
      <c r="Q246" s="5"/>
      <c r="R246" s="9"/>
    </row>
    <row r="247">
      <c r="A247" s="44"/>
      <c r="C247" s="5"/>
      <c r="E247" s="19"/>
      <c r="F247" s="5"/>
      <c r="H247" s="19"/>
      <c r="O247" s="5"/>
      <c r="Q247" s="5"/>
      <c r="R247" s="9"/>
    </row>
    <row r="248">
      <c r="A248" s="44"/>
      <c r="C248" s="5"/>
      <c r="E248" s="19"/>
      <c r="F248" s="5"/>
      <c r="H248" s="19"/>
      <c r="O248" s="5"/>
      <c r="Q248" s="5"/>
      <c r="R248" s="9"/>
    </row>
    <row r="249">
      <c r="A249" s="44"/>
      <c r="C249" s="5"/>
      <c r="E249" s="19"/>
      <c r="F249" s="5"/>
      <c r="H249" s="19"/>
      <c r="O249" s="5"/>
      <c r="Q249" s="5"/>
      <c r="R249" s="9"/>
    </row>
    <row r="250">
      <c r="A250" s="44"/>
      <c r="C250" s="5"/>
      <c r="E250" s="19"/>
      <c r="F250" s="5"/>
      <c r="H250" s="19"/>
      <c r="O250" s="5"/>
      <c r="Q250" s="5"/>
      <c r="R250" s="9"/>
    </row>
    <row r="251">
      <c r="A251" s="44"/>
      <c r="C251" s="5"/>
      <c r="E251" s="19"/>
      <c r="F251" s="5"/>
      <c r="H251" s="19"/>
      <c r="O251" s="5"/>
      <c r="Q251" s="5"/>
      <c r="R251" s="9"/>
    </row>
    <row r="252">
      <c r="A252" s="44"/>
      <c r="C252" s="5"/>
      <c r="E252" s="19"/>
      <c r="F252" s="5"/>
      <c r="H252" s="19"/>
      <c r="O252" s="5"/>
      <c r="Q252" s="5"/>
      <c r="R252" s="9"/>
    </row>
    <row r="253">
      <c r="A253" s="44"/>
      <c r="C253" s="5"/>
      <c r="E253" s="19"/>
      <c r="F253" s="5"/>
      <c r="H253" s="19"/>
      <c r="O253" s="5"/>
      <c r="Q253" s="5"/>
      <c r="R253" s="9"/>
    </row>
    <row r="254">
      <c r="A254" s="44"/>
      <c r="C254" s="5"/>
      <c r="E254" s="19"/>
      <c r="F254" s="5"/>
      <c r="H254" s="19"/>
      <c r="O254" s="5"/>
      <c r="Q254" s="5"/>
      <c r="R254" s="9"/>
    </row>
    <row r="255">
      <c r="A255" s="44"/>
      <c r="C255" s="5"/>
      <c r="E255" s="19"/>
      <c r="F255" s="5"/>
      <c r="H255" s="19"/>
      <c r="O255" s="5"/>
      <c r="Q255" s="5"/>
      <c r="R255" s="9"/>
    </row>
    <row r="256">
      <c r="A256" s="44"/>
      <c r="C256" s="5"/>
      <c r="E256" s="19"/>
      <c r="F256" s="5"/>
      <c r="H256" s="19"/>
      <c r="O256" s="5"/>
      <c r="Q256" s="5"/>
      <c r="R256" s="9"/>
    </row>
    <row r="257">
      <c r="A257" s="44"/>
      <c r="C257" s="5"/>
      <c r="E257" s="19"/>
      <c r="F257" s="5"/>
      <c r="H257" s="19"/>
      <c r="O257" s="5"/>
      <c r="Q257" s="5"/>
      <c r="R257" s="9"/>
    </row>
    <row r="258">
      <c r="A258" s="44"/>
      <c r="C258" s="5"/>
      <c r="E258" s="19"/>
      <c r="F258" s="5"/>
      <c r="H258" s="19"/>
      <c r="O258" s="5"/>
      <c r="Q258" s="5"/>
      <c r="R258" s="9"/>
    </row>
    <row r="259">
      <c r="A259" s="44"/>
      <c r="C259" s="5"/>
      <c r="E259" s="19"/>
      <c r="F259" s="5"/>
      <c r="H259" s="19"/>
      <c r="O259" s="5"/>
      <c r="Q259" s="5"/>
      <c r="R259" s="9"/>
    </row>
    <row r="260">
      <c r="A260" s="44"/>
      <c r="C260" s="5"/>
      <c r="E260" s="19"/>
      <c r="F260" s="5"/>
      <c r="H260" s="19"/>
      <c r="O260" s="5"/>
      <c r="Q260" s="5"/>
      <c r="R260" s="9"/>
    </row>
    <row r="261">
      <c r="A261" s="44"/>
      <c r="C261" s="5"/>
      <c r="E261" s="19"/>
      <c r="F261" s="5"/>
      <c r="H261" s="19"/>
      <c r="O261" s="5"/>
      <c r="Q261" s="5"/>
      <c r="R261" s="9"/>
    </row>
    <row r="262">
      <c r="A262" s="44"/>
      <c r="C262" s="5"/>
      <c r="E262" s="19"/>
      <c r="F262" s="5"/>
      <c r="H262" s="19"/>
      <c r="O262" s="5"/>
      <c r="Q262" s="5"/>
      <c r="R262" s="9"/>
    </row>
    <row r="263">
      <c r="A263" s="44"/>
      <c r="C263" s="5"/>
      <c r="E263" s="19"/>
      <c r="F263" s="5"/>
      <c r="H263" s="19"/>
      <c r="O263" s="5"/>
      <c r="Q263" s="5"/>
      <c r="R263" s="9"/>
    </row>
    <row r="264">
      <c r="A264" s="44"/>
      <c r="C264" s="5"/>
      <c r="E264" s="19"/>
      <c r="F264" s="5"/>
      <c r="H264" s="19"/>
      <c r="O264" s="5"/>
      <c r="Q264" s="5"/>
      <c r="R264" s="9"/>
    </row>
    <row r="265">
      <c r="A265" s="44"/>
      <c r="C265" s="5"/>
      <c r="E265" s="19"/>
      <c r="F265" s="5"/>
      <c r="H265" s="19"/>
      <c r="O265" s="5"/>
      <c r="Q265" s="5"/>
      <c r="R265" s="9"/>
    </row>
    <row r="266">
      <c r="A266" s="44"/>
      <c r="C266" s="5"/>
      <c r="E266" s="19"/>
      <c r="F266" s="5"/>
      <c r="H266" s="19"/>
      <c r="O266" s="5"/>
      <c r="Q266" s="5"/>
      <c r="R266" s="9"/>
    </row>
    <row r="267">
      <c r="A267" s="44"/>
      <c r="C267" s="5"/>
      <c r="E267" s="19"/>
      <c r="F267" s="5"/>
      <c r="H267" s="19"/>
      <c r="O267" s="5"/>
      <c r="Q267" s="5"/>
      <c r="R267" s="9"/>
    </row>
    <row r="268">
      <c r="A268" s="44"/>
      <c r="C268" s="5"/>
      <c r="E268" s="19"/>
      <c r="F268" s="5"/>
      <c r="H268" s="19"/>
      <c r="O268" s="5"/>
      <c r="Q268" s="5"/>
      <c r="R268" s="9"/>
    </row>
    <row r="269">
      <c r="A269" s="44"/>
      <c r="C269" s="5"/>
      <c r="E269" s="19"/>
      <c r="F269" s="5"/>
      <c r="H269" s="19"/>
      <c r="O269" s="5"/>
      <c r="Q269" s="5"/>
      <c r="R269" s="9"/>
    </row>
    <row r="270">
      <c r="A270" s="44"/>
      <c r="C270" s="5"/>
      <c r="E270" s="19"/>
      <c r="F270" s="5"/>
      <c r="H270" s="19"/>
      <c r="O270" s="5"/>
      <c r="Q270" s="5"/>
      <c r="R270" s="9"/>
    </row>
    <row r="271">
      <c r="A271" s="44"/>
      <c r="C271" s="5"/>
      <c r="E271" s="19"/>
      <c r="F271" s="5"/>
      <c r="H271" s="19"/>
      <c r="O271" s="5"/>
      <c r="Q271" s="5"/>
      <c r="R271" s="9"/>
    </row>
    <row r="272">
      <c r="A272" s="44"/>
      <c r="C272" s="5"/>
      <c r="E272" s="19"/>
      <c r="F272" s="5"/>
      <c r="H272" s="19"/>
      <c r="O272" s="5"/>
      <c r="Q272" s="5"/>
      <c r="R272" s="9"/>
    </row>
    <row r="273">
      <c r="A273" s="44"/>
      <c r="C273" s="5"/>
      <c r="E273" s="19"/>
      <c r="F273" s="5"/>
      <c r="H273" s="19"/>
      <c r="O273" s="5"/>
      <c r="Q273" s="5"/>
      <c r="R273" s="9"/>
    </row>
    <row r="274">
      <c r="A274" s="44"/>
      <c r="C274" s="5"/>
      <c r="E274" s="19"/>
      <c r="F274" s="5"/>
      <c r="H274" s="19"/>
      <c r="O274" s="5"/>
      <c r="Q274" s="5"/>
      <c r="R274" s="9"/>
    </row>
    <row r="275">
      <c r="A275" s="44"/>
      <c r="C275" s="5"/>
      <c r="E275" s="19"/>
      <c r="F275" s="5"/>
      <c r="H275" s="19"/>
      <c r="O275" s="5"/>
      <c r="Q275" s="5"/>
      <c r="R275" s="9"/>
    </row>
    <row r="276">
      <c r="A276" s="44"/>
      <c r="C276" s="5"/>
      <c r="E276" s="19"/>
      <c r="F276" s="5"/>
      <c r="H276" s="19"/>
      <c r="O276" s="5"/>
      <c r="Q276" s="5"/>
      <c r="R276" s="9"/>
    </row>
    <row r="277">
      <c r="A277" s="44"/>
      <c r="C277" s="5"/>
      <c r="E277" s="19"/>
      <c r="F277" s="5"/>
      <c r="H277" s="19"/>
      <c r="O277" s="5"/>
      <c r="Q277" s="5"/>
      <c r="R277" s="9"/>
    </row>
    <row r="278">
      <c r="A278" s="44"/>
      <c r="C278" s="5"/>
      <c r="E278" s="19"/>
      <c r="F278" s="5"/>
      <c r="H278" s="19"/>
      <c r="O278" s="5"/>
      <c r="Q278" s="5"/>
      <c r="R278" s="9"/>
    </row>
    <row r="279">
      <c r="A279" s="44"/>
      <c r="C279" s="5"/>
      <c r="E279" s="19"/>
      <c r="F279" s="5"/>
      <c r="H279" s="19"/>
      <c r="O279" s="5"/>
      <c r="Q279" s="5"/>
      <c r="R279" s="9"/>
    </row>
    <row r="280">
      <c r="A280" s="44"/>
      <c r="C280" s="5"/>
      <c r="E280" s="19"/>
      <c r="F280" s="5"/>
      <c r="H280" s="19"/>
      <c r="O280" s="5"/>
      <c r="Q280" s="5"/>
      <c r="R280" s="9"/>
    </row>
    <row r="281">
      <c r="A281" s="44"/>
      <c r="C281" s="5"/>
      <c r="E281" s="19"/>
      <c r="F281" s="5"/>
      <c r="H281" s="19"/>
      <c r="O281" s="5"/>
      <c r="Q281" s="5"/>
      <c r="R281" s="9"/>
    </row>
    <row r="282">
      <c r="A282" s="44"/>
      <c r="C282" s="5"/>
      <c r="E282" s="19"/>
      <c r="F282" s="5"/>
      <c r="H282" s="19"/>
      <c r="O282" s="5"/>
      <c r="Q282" s="5"/>
      <c r="R282" s="9"/>
    </row>
    <row r="283">
      <c r="A283" s="44"/>
      <c r="C283" s="5"/>
      <c r="E283" s="19"/>
      <c r="F283" s="5"/>
      <c r="H283" s="19"/>
      <c r="O283" s="5"/>
      <c r="Q283" s="5"/>
      <c r="R283" s="9"/>
    </row>
    <row r="284">
      <c r="A284" s="44"/>
      <c r="C284" s="5"/>
      <c r="E284" s="19"/>
      <c r="F284" s="5"/>
      <c r="H284" s="19"/>
      <c r="O284" s="5"/>
      <c r="Q284" s="5"/>
      <c r="R284" s="9"/>
    </row>
    <row r="285">
      <c r="A285" s="44"/>
      <c r="C285" s="5"/>
      <c r="E285" s="19"/>
      <c r="F285" s="5"/>
      <c r="H285" s="19"/>
      <c r="O285" s="5"/>
      <c r="Q285" s="5"/>
      <c r="R285" s="9"/>
    </row>
    <row r="286">
      <c r="A286" s="44"/>
      <c r="C286" s="5"/>
      <c r="E286" s="19"/>
      <c r="F286" s="5"/>
      <c r="H286" s="19"/>
      <c r="O286" s="5"/>
      <c r="Q286" s="5"/>
      <c r="R286" s="9"/>
    </row>
    <row r="287">
      <c r="A287" s="44"/>
      <c r="C287" s="5"/>
      <c r="E287" s="19"/>
      <c r="F287" s="5"/>
      <c r="H287" s="19"/>
      <c r="O287" s="5"/>
      <c r="Q287" s="5"/>
      <c r="R287" s="9"/>
    </row>
    <row r="288">
      <c r="A288" s="44"/>
      <c r="C288" s="5"/>
      <c r="E288" s="19"/>
      <c r="F288" s="5"/>
      <c r="H288" s="19"/>
      <c r="O288" s="5"/>
      <c r="Q288" s="5"/>
      <c r="R288" s="9"/>
    </row>
    <row r="289">
      <c r="A289" s="44"/>
      <c r="C289" s="5"/>
      <c r="E289" s="19"/>
      <c r="F289" s="5"/>
      <c r="H289" s="19"/>
      <c r="O289" s="5"/>
      <c r="Q289" s="5"/>
      <c r="R289" s="9"/>
    </row>
    <row r="290">
      <c r="A290" s="44"/>
      <c r="C290" s="5"/>
      <c r="E290" s="19"/>
      <c r="F290" s="5"/>
      <c r="H290" s="19"/>
      <c r="O290" s="5"/>
      <c r="Q290" s="5"/>
      <c r="R290" s="9"/>
    </row>
    <row r="291">
      <c r="A291" s="44"/>
      <c r="C291" s="5"/>
      <c r="E291" s="19"/>
      <c r="F291" s="5"/>
      <c r="H291" s="19"/>
      <c r="O291" s="5"/>
      <c r="Q291" s="5"/>
      <c r="R291" s="9"/>
    </row>
    <row r="292">
      <c r="A292" s="44"/>
      <c r="C292" s="5"/>
      <c r="E292" s="19"/>
      <c r="F292" s="5"/>
      <c r="H292" s="19"/>
      <c r="O292" s="5"/>
      <c r="Q292" s="5"/>
      <c r="R292" s="9"/>
    </row>
    <row r="293">
      <c r="A293" s="44"/>
      <c r="C293" s="5"/>
      <c r="E293" s="19"/>
      <c r="F293" s="5"/>
      <c r="H293" s="19"/>
      <c r="O293" s="5"/>
      <c r="Q293" s="5"/>
      <c r="R293" s="9"/>
    </row>
    <row r="294">
      <c r="A294" s="44"/>
      <c r="C294" s="5"/>
      <c r="E294" s="19"/>
      <c r="F294" s="5"/>
      <c r="H294" s="19"/>
      <c r="O294" s="5"/>
      <c r="Q294" s="5"/>
      <c r="R294" s="9"/>
    </row>
    <row r="295">
      <c r="A295" s="44"/>
      <c r="C295" s="5"/>
      <c r="E295" s="19"/>
      <c r="F295" s="5"/>
      <c r="H295" s="19"/>
      <c r="O295" s="5"/>
      <c r="Q295" s="5"/>
      <c r="R295" s="9"/>
    </row>
    <row r="296">
      <c r="A296" s="44"/>
      <c r="C296" s="5"/>
      <c r="E296" s="19"/>
      <c r="F296" s="5"/>
      <c r="H296" s="19"/>
      <c r="O296" s="5"/>
      <c r="Q296" s="5"/>
      <c r="R296" s="9"/>
    </row>
    <row r="297">
      <c r="A297" s="44"/>
      <c r="C297" s="5"/>
      <c r="E297" s="19"/>
      <c r="F297" s="5"/>
      <c r="H297" s="19"/>
      <c r="O297" s="5"/>
      <c r="Q297" s="5"/>
      <c r="R297" s="9"/>
    </row>
    <row r="298">
      <c r="A298" s="44"/>
      <c r="C298" s="5"/>
      <c r="E298" s="19"/>
      <c r="F298" s="5"/>
      <c r="H298" s="19"/>
      <c r="O298" s="5"/>
      <c r="Q298" s="5"/>
      <c r="R298" s="9"/>
    </row>
    <row r="299">
      <c r="A299" s="44"/>
      <c r="C299" s="5"/>
      <c r="E299" s="19"/>
      <c r="F299" s="5"/>
      <c r="H299" s="19"/>
      <c r="O299" s="5"/>
      <c r="Q299" s="5"/>
      <c r="R299" s="9"/>
    </row>
    <row r="300">
      <c r="A300" s="44"/>
      <c r="C300" s="5"/>
      <c r="E300" s="19"/>
      <c r="F300" s="5"/>
      <c r="H300" s="19"/>
      <c r="O300" s="5"/>
      <c r="Q300" s="5"/>
      <c r="R300" s="9"/>
    </row>
    <row r="301">
      <c r="A301" s="44"/>
      <c r="C301" s="5"/>
      <c r="E301" s="19"/>
      <c r="F301" s="5"/>
      <c r="H301" s="19"/>
      <c r="O301" s="5"/>
      <c r="Q301" s="5"/>
      <c r="R301" s="9"/>
    </row>
    <row r="302">
      <c r="A302" s="44"/>
      <c r="C302" s="5"/>
      <c r="E302" s="19"/>
      <c r="F302" s="5"/>
      <c r="H302" s="19"/>
      <c r="O302" s="5"/>
      <c r="Q302" s="5"/>
      <c r="R302" s="9"/>
    </row>
    <row r="303">
      <c r="A303" s="44"/>
      <c r="C303" s="5"/>
      <c r="E303" s="19"/>
      <c r="F303" s="5"/>
      <c r="H303" s="19"/>
      <c r="O303" s="5"/>
      <c r="Q303" s="5"/>
      <c r="R303" s="9"/>
    </row>
    <row r="304">
      <c r="A304" s="44"/>
      <c r="C304" s="5"/>
      <c r="E304" s="19"/>
      <c r="F304" s="5"/>
      <c r="H304" s="19"/>
      <c r="O304" s="5"/>
      <c r="Q304" s="5"/>
      <c r="R304" s="9"/>
    </row>
    <row r="305">
      <c r="A305" s="44"/>
      <c r="C305" s="5"/>
      <c r="E305" s="19"/>
      <c r="F305" s="5"/>
      <c r="H305" s="19"/>
      <c r="O305" s="5"/>
      <c r="Q305" s="5"/>
      <c r="R305" s="9"/>
    </row>
    <row r="306">
      <c r="A306" s="44"/>
      <c r="C306" s="5"/>
      <c r="E306" s="19"/>
      <c r="F306" s="5"/>
      <c r="H306" s="19"/>
      <c r="O306" s="5"/>
      <c r="Q306" s="5"/>
      <c r="R306" s="9"/>
    </row>
    <row r="307">
      <c r="A307" s="44"/>
      <c r="C307" s="5"/>
      <c r="E307" s="19"/>
      <c r="F307" s="5"/>
      <c r="H307" s="19"/>
      <c r="O307" s="5"/>
      <c r="Q307" s="5"/>
      <c r="R307" s="9"/>
    </row>
    <row r="308">
      <c r="A308" s="44"/>
      <c r="C308" s="5"/>
      <c r="E308" s="19"/>
      <c r="F308" s="5"/>
      <c r="H308" s="19"/>
      <c r="O308" s="5"/>
      <c r="Q308" s="5"/>
      <c r="R308" s="9"/>
    </row>
    <row r="309">
      <c r="A309" s="44"/>
      <c r="C309" s="5"/>
      <c r="E309" s="19"/>
      <c r="F309" s="5"/>
      <c r="H309" s="19"/>
      <c r="O309" s="5"/>
      <c r="Q309" s="5"/>
      <c r="R309" s="9"/>
    </row>
    <row r="310">
      <c r="A310" s="44"/>
      <c r="C310" s="5"/>
      <c r="E310" s="19"/>
      <c r="F310" s="5"/>
      <c r="H310" s="19"/>
      <c r="O310" s="5"/>
      <c r="Q310" s="5"/>
      <c r="R310" s="9"/>
    </row>
    <row r="311">
      <c r="A311" s="44"/>
      <c r="C311" s="5"/>
      <c r="E311" s="19"/>
      <c r="F311" s="5"/>
      <c r="H311" s="19"/>
      <c r="O311" s="5"/>
      <c r="Q311" s="5"/>
      <c r="R311" s="9"/>
    </row>
    <row r="312">
      <c r="A312" s="44"/>
      <c r="C312" s="5"/>
      <c r="E312" s="19"/>
      <c r="F312" s="5"/>
      <c r="H312" s="19"/>
      <c r="O312" s="5"/>
      <c r="Q312" s="5"/>
      <c r="R312" s="9"/>
    </row>
    <row r="313">
      <c r="A313" s="44"/>
      <c r="C313" s="5"/>
      <c r="E313" s="19"/>
      <c r="F313" s="5"/>
      <c r="H313" s="19"/>
      <c r="O313" s="5"/>
      <c r="Q313" s="5"/>
      <c r="R313" s="9"/>
    </row>
    <row r="314">
      <c r="A314" s="44"/>
      <c r="C314" s="5"/>
      <c r="E314" s="19"/>
      <c r="F314" s="5"/>
      <c r="H314" s="19"/>
      <c r="O314" s="5"/>
      <c r="Q314" s="5"/>
      <c r="R314" s="9"/>
    </row>
    <row r="315">
      <c r="A315" s="44"/>
      <c r="C315" s="5"/>
      <c r="E315" s="19"/>
      <c r="F315" s="5"/>
      <c r="H315" s="19"/>
      <c r="O315" s="5"/>
      <c r="Q315" s="5"/>
      <c r="R315" s="9"/>
    </row>
    <row r="316">
      <c r="A316" s="44"/>
      <c r="C316" s="5"/>
      <c r="E316" s="19"/>
      <c r="F316" s="5"/>
      <c r="H316" s="19"/>
      <c r="O316" s="5"/>
      <c r="Q316" s="5"/>
      <c r="R316" s="9"/>
    </row>
    <row r="317">
      <c r="A317" s="44"/>
      <c r="C317" s="5"/>
      <c r="E317" s="19"/>
      <c r="F317" s="5"/>
      <c r="H317" s="19"/>
      <c r="O317" s="5"/>
      <c r="Q317" s="5"/>
      <c r="R317" s="9"/>
    </row>
    <row r="318">
      <c r="A318" s="44"/>
      <c r="C318" s="5"/>
      <c r="E318" s="19"/>
      <c r="F318" s="5"/>
      <c r="H318" s="19"/>
      <c r="O318" s="5"/>
      <c r="Q318" s="5"/>
      <c r="R318" s="9"/>
    </row>
    <row r="319">
      <c r="A319" s="44"/>
      <c r="C319" s="5"/>
      <c r="E319" s="19"/>
      <c r="F319" s="5"/>
      <c r="H319" s="19"/>
      <c r="O319" s="5"/>
      <c r="Q319" s="5"/>
      <c r="R319" s="9"/>
    </row>
    <row r="320">
      <c r="A320" s="44"/>
      <c r="C320" s="5"/>
      <c r="E320" s="19"/>
      <c r="F320" s="5"/>
      <c r="H320" s="19"/>
      <c r="O320" s="5"/>
      <c r="Q320" s="5"/>
      <c r="R320" s="9"/>
    </row>
    <row r="321">
      <c r="A321" s="44"/>
      <c r="C321" s="5"/>
      <c r="E321" s="19"/>
      <c r="F321" s="5"/>
      <c r="H321" s="19"/>
      <c r="O321" s="5"/>
      <c r="Q321" s="5"/>
      <c r="R321" s="9"/>
    </row>
    <row r="322">
      <c r="A322" s="44"/>
      <c r="C322" s="5"/>
      <c r="E322" s="19"/>
      <c r="F322" s="5"/>
      <c r="H322" s="19"/>
      <c r="O322" s="5"/>
      <c r="Q322" s="5"/>
      <c r="R322" s="9"/>
    </row>
    <row r="323">
      <c r="A323" s="44"/>
      <c r="C323" s="5"/>
      <c r="E323" s="19"/>
      <c r="F323" s="5"/>
      <c r="H323" s="19"/>
      <c r="O323" s="5"/>
      <c r="Q323" s="5"/>
      <c r="R323" s="9"/>
    </row>
    <row r="324">
      <c r="A324" s="44"/>
      <c r="C324" s="5"/>
      <c r="E324" s="19"/>
      <c r="F324" s="5"/>
      <c r="H324" s="19"/>
      <c r="O324" s="5"/>
      <c r="Q324" s="5"/>
      <c r="R324" s="9"/>
    </row>
    <row r="325">
      <c r="A325" s="44"/>
      <c r="C325" s="5"/>
      <c r="E325" s="19"/>
      <c r="F325" s="5"/>
      <c r="H325" s="19"/>
      <c r="O325" s="5"/>
      <c r="Q325" s="5"/>
      <c r="R325" s="9"/>
    </row>
    <row r="326">
      <c r="A326" s="44"/>
      <c r="C326" s="5"/>
      <c r="E326" s="19"/>
      <c r="F326" s="5"/>
      <c r="H326" s="19"/>
      <c r="O326" s="5"/>
      <c r="Q326" s="5"/>
      <c r="R326" s="9"/>
    </row>
    <row r="327">
      <c r="A327" s="44"/>
      <c r="C327" s="5"/>
      <c r="E327" s="19"/>
      <c r="F327" s="5"/>
      <c r="H327" s="19"/>
      <c r="O327" s="5"/>
      <c r="Q327" s="5"/>
      <c r="R327" s="9"/>
    </row>
    <row r="328">
      <c r="A328" s="44"/>
      <c r="C328" s="5"/>
      <c r="E328" s="19"/>
      <c r="F328" s="5"/>
      <c r="H328" s="19"/>
      <c r="O328" s="5"/>
      <c r="Q328" s="5"/>
      <c r="R328" s="9"/>
    </row>
    <row r="329">
      <c r="A329" s="44"/>
      <c r="C329" s="5"/>
      <c r="E329" s="19"/>
      <c r="F329" s="5"/>
      <c r="H329" s="19"/>
      <c r="O329" s="5"/>
      <c r="Q329" s="5"/>
      <c r="R329" s="9"/>
    </row>
    <row r="330">
      <c r="A330" s="44"/>
      <c r="C330" s="5"/>
      <c r="E330" s="19"/>
      <c r="F330" s="5"/>
      <c r="H330" s="19"/>
      <c r="O330" s="5"/>
      <c r="Q330" s="5"/>
      <c r="R330" s="9"/>
    </row>
    <row r="331">
      <c r="A331" s="44"/>
      <c r="C331" s="5"/>
      <c r="E331" s="19"/>
      <c r="F331" s="5"/>
      <c r="H331" s="19"/>
      <c r="O331" s="5"/>
      <c r="Q331" s="5"/>
      <c r="R331" s="9"/>
    </row>
    <row r="332">
      <c r="A332" s="44"/>
      <c r="C332" s="5"/>
      <c r="E332" s="19"/>
      <c r="F332" s="5"/>
      <c r="H332" s="19"/>
      <c r="O332" s="5"/>
      <c r="Q332" s="5"/>
      <c r="R332" s="9"/>
    </row>
    <row r="333">
      <c r="A333" s="44"/>
      <c r="C333" s="5"/>
      <c r="E333" s="19"/>
      <c r="F333" s="5"/>
      <c r="H333" s="19"/>
      <c r="O333" s="5"/>
      <c r="Q333" s="5"/>
      <c r="R333" s="9"/>
    </row>
    <row r="334">
      <c r="A334" s="44"/>
      <c r="C334" s="5"/>
      <c r="E334" s="19"/>
      <c r="F334" s="5"/>
      <c r="H334" s="19"/>
      <c r="O334" s="5"/>
      <c r="Q334" s="5"/>
      <c r="R334" s="9"/>
    </row>
    <row r="335">
      <c r="A335" s="44"/>
      <c r="C335" s="5"/>
      <c r="E335" s="19"/>
      <c r="F335" s="5"/>
      <c r="H335" s="19"/>
      <c r="O335" s="5"/>
      <c r="Q335" s="5"/>
      <c r="R335" s="9"/>
    </row>
    <row r="336">
      <c r="A336" s="44"/>
      <c r="C336" s="5"/>
      <c r="E336" s="19"/>
      <c r="F336" s="5"/>
      <c r="H336" s="19"/>
      <c r="O336" s="5"/>
      <c r="Q336" s="5"/>
      <c r="R336" s="9"/>
    </row>
    <row r="337">
      <c r="A337" s="44"/>
      <c r="C337" s="5"/>
      <c r="E337" s="19"/>
      <c r="F337" s="5"/>
      <c r="H337" s="19"/>
      <c r="O337" s="5"/>
      <c r="Q337" s="5"/>
      <c r="R337" s="9"/>
    </row>
    <row r="338">
      <c r="A338" s="44"/>
      <c r="C338" s="5"/>
      <c r="E338" s="19"/>
      <c r="F338" s="5"/>
      <c r="H338" s="19"/>
      <c r="O338" s="5"/>
      <c r="Q338" s="5"/>
      <c r="R338" s="9"/>
    </row>
    <row r="339">
      <c r="A339" s="44"/>
      <c r="C339" s="5"/>
      <c r="E339" s="19"/>
      <c r="F339" s="5"/>
      <c r="H339" s="19"/>
      <c r="O339" s="5"/>
      <c r="Q339" s="5"/>
      <c r="R339" s="9"/>
    </row>
    <row r="340">
      <c r="A340" s="44"/>
      <c r="C340" s="5"/>
      <c r="E340" s="19"/>
      <c r="F340" s="5"/>
      <c r="H340" s="19"/>
      <c r="O340" s="5"/>
      <c r="Q340" s="5"/>
      <c r="R340" s="9"/>
    </row>
    <row r="341">
      <c r="A341" s="44"/>
      <c r="C341" s="5"/>
      <c r="E341" s="19"/>
      <c r="F341" s="5"/>
      <c r="H341" s="19"/>
      <c r="O341" s="5"/>
      <c r="Q341" s="5"/>
      <c r="R341" s="9"/>
    </row>
    <row r="342">
      <c r="A342" s="44"/>
      <c r="C342" s="5"/>
      <c r="E342" s="19"/>
      <c r="F342" s="5"/>
      <c r="H342" s="19"/>
      <c r="O342" s="5"/>
      <c r="Q342" s="5"/>
      <c r="R342" s="9"/>
    </row>
    <row r="343">
      <c r="A343" s="44"/>
      <c r="C343" s="5"/>
      <c r="E343" s="19"/>
      <c r="F343" s="5"/>
      <c r="H343" s="19"/>
      <c r="O343" s="5"/>
      <c r="Q343" s="5"/>
      <c r="R343" s="9"/>
    </row>
    <row r="344">
      <c r="A344" s="44"/>
      <c r="C344" s="5"/>
      <c r="E344" s="19"/>
      <c r="F344" s="5"/>
      <c r="H344" s="19"/>
      <c r="O344" s="5"/>
      <c r="Q344" s="5"/>
      <c r="R344" s="9"/>
    </row>
    <row r="345">
      <c r="A345" s="44"/>
      <c r="C345" s="5"/>
      <c r="E345" s="19"/>
      <c r="F345" s="5"/>
      <c r="H345" s="19"/>
      <c r="O345" s="5"/>
      <c r="Q345" s="5"/>
      <c r="R345" s="9"/>
    </row>
    <row r="346">
      <c r="A346" s="44"/>
      <c r="C346" s="5"/>
      <c r="E346" s="19"/>
      <c r="F346" s="5"/>
      <c r="H346" s="19"/>
      <c r="O346" s="5"/>
      <c r="Q346" s="5"/>
      <c r="R346" s="9"/>
    </row>
    <row r="347">
      <c r="A347" s="44"/>
      <c r="C347" s="5"/>
      <c r="E347" s="19"/>
      <c r="F347" s="5"/>
      <c r="H347" s="19"/>
      <c r="O347" s="5"/>
      <c r="Q347" s="5"/>
      <c r="R347" s="9"/>
    </row>
    <row r="348">
      <c r="A348" s="44"/>
      <c r="C348" s="5"/>
      <c r="E348" s="19"/>
      <c r="F348" s="5"/>
      <c r="H348" s="19"/>
      <c r="O348" s="5"/>
      <c r="Q348" s="5"/>
      <c r="R348" s="9"/>
    </row>
    <row r="349">
      <c r="A349" s="44"/>
      <c r="C349" s="5"/>
      <c r="E349" s="19"/>
      <c r="F349" s="5"/>
      <c r="H349" s="19"/>
      <c r="O349" s="5"/>
      <c r="Q349" s="5"/>
      <c r="R349" s="9"/>
    </row>
    <row r="350">
      <c r="A350" s="44"/>
      <c r="C350" s="5"/>
      <c r="E350" s="19"/>
      <c r="F350" s="5"/>
      <c r="H350" s="19"/>
      <c r="O350" s="5"/>
      <c r="Q350" s="5"/>
      <c r="R350" s="9"/>
    </row>
    <row r="351">
      <c r="A351" s="44"/>
      <c r="C351" s="5"/>
      <c r="E351" s="19"/>
      <c r="F351" s="5"/>
      <c r="H351" s="19"/>
      <c r="O351" s="5"/>
      <c r="Q351" s="5"/>
      <c r="R351" s="9"/>
    </row>
    <row r="352">
      <c r="A352" s="44"/>
      <c r="C352" s="5"/>
      <c r="E352" s="19"/>
      <c r="F352" s="5"/>
      <c r="H352" s="19"/>
      <c r="O352" s="5"/>
      <c r="Q352" s="5"/>
      <c r="R352" s="9"/>
    </row>
    <row r="353">
      <c r="A353" s="44"/>
      <c r="C353" s="5"/>
      <c r="E353" s="19"/>
      <c r="F353" s="5"/>
      <c r="H353" s="19"/>
      <c r="O353" s="5"/>
      <c r="Q353" s="5"/>
      <c r="R353" s="9"/>
    </row>
    <row r="354">
      <c r="A354" s="44"/>
      <c r="C354" s="5"/>
      <c r="E354" s="19"/>
      <c r="F354" s="5"/>
      <c r="H354" s="19"/>
      <c r="O354" s="5"/>
      <c r="Q354" s="5"/>
      <c r="R354" s="9"/>
    </row>
    <row r="355">
      <c r="A355" s="44"/>
      <c r="C355" s="5"/>
      <c r="E355" s="19"/>
      <c r="F355" s="5"/>
      <c r="H355" s="19"/>
      <c r="O355" s="5"/>
      <c r="Q355" s="5"/>
      <c r="R355" s="9"/>
    </row>
    <row r="356">
      <c r="A356" s="44"/>
      <c r="C356" s="5"/>
      <c r="E356" s="19"/>
      <c r="F356" s="5"/>
      <c r="H356" s="19"/>
      <c r="O356" s="5"/>
      <c r="Q356" s="5"/>
      <c r="R356" s="9"/>
    </row>
    <row r="357">
      <c r="A357" s="44"/>
      <c r="C357" s="5"/>
      <c r="E357" s="19"/>
      <c r="F357" s="5"/>
      <c r="H357" s="19"/>
      <c r="O357" s="5"/>
      <c r="Q357" s="5"/>
      <c r="R357" s="9"/>
    </row>
    <row r="358">
      <c r="A358" s="44"/>
      <c r="C358" s="5"/>
      <c r="E358" s="19"/>
      <c r="F358" s="5"/>
      <c r="H358" s="19"/>
      <c r="O358" s="5"/>
      <c r="Q358" s="5"/>
      <c r="R358" s="9"/>
    </row>
    <row r="359">
      <c r="A359" s="44"/>
      <c r="C359" s="5"/>
      <c r="E359" s="19"/>
      <c r="F359" s="5"/>
      <c r="H359" s="19"/>
      <c r="O359" s="5"/>
      <c r="Q359" s="5"/>
      <c r="R359" s="9"/>
    </row>
    <row r="360">
      <c r="A360" s="44"/>
      <c r="C360" s="5"/>
      <c r="E360" s="19"/>
      <c r="F360" s="5"/>
      <c r="H360" s="19"/>
      <c r="O360" s="5"/>
      <c r="Q360" s="5"/>
      <c r="R360" s="9"/>
    </row>
    <row r="361">
      <c r="A361" s="44"/>
      <c r="C361" s="5"/>
      <c r="E361" s="19"/>
      <c r="F361" s="5"/>
      <c r="H361" s="19"/>
      <c r="O361" s="5"/>
      <c r="Q361" s="5"/>
      <c r="R361" s="9"/>
    </row>
    <row r="362">
      <c r="A362" s="44"/>
      <c r="C362" s="5"/>
      <c r="E362" s="19"/>
      <c r="F362" s="5"/>
      <c r="H362" s="19"/>
      <c r="O362" s="5"/>
      <c r="Q362" s="5"/>
      <c r="R362" s="9"/>
    </row>
    <row r="363">
      <c r="A363" s="44"/>
      <c r="C363" s="5"/>
      <c r="E363" s="19"/>
      <c r="F363" s="5"/>
      <c r="H363" s="19"/>
      <c r="O363" s="5"/>
      <c r="Q363" s="5"/>
      <c r="R363" s="9"/>
    </row>
    <row r="364">
      <c r="A364" s="44"/>
      <c r="C364" s="5"/>
      <c r="E364" s="19"/>
      <c r="F364" s="5"/>
      <c r="H364" s="19"/>
      <c r="O364" s="5"/>
      <c r="Q364" s="5"/>
      <c r="R364" s="9"/>
    </row>
    <row r="365">
      <c r="A365" s="44"/>
      <c r="C365" s="5"/>
      <c r="E365" s="19"/>
      <c r="F365" s="5"/>
      <c r="H365" s="19"/>
      <c r="O365" s="5"/>
      <c r="Q365" s="5"/>
      <c r="R365" s="9"/>
    </row>
    <row r="366">
      <c r="A366" s="44"/>
      <c r="C366" s="5"/>
      <c r="E366" s="19"/>
      <c r="F366" s="5"/>
      <c r="H366" s="19"/>
      <c r="O366" s="5"/>
      <c r="Q366" s="5"/>
      <c r="R366" s="9"/>
    </row>
    <row r="367">
      <c r="A367" s="44"/>
      <c r="C367" s="5"/>
      <c r="E367" s="19"/>
      <c r="F367" s="5"/>
      <c r="H367" s="19"/>
      <c r="O367" s="5"/>
      <c r="Q367" s="5"/>
      <c r="R367" s="9"/>
    </row>
    <row r="368">
      <c r="A368" s="44"/>
      <c r="C368" s="5"/>
      <c r="E368" s="19"/>
      <c r="F368" s="5"/>
      <c r="H368" s="19"/>
      <c r="O368" s="5"/>
      <c r="Q368" s="5"/>
      <c r="R368" s="9"/>
    </row>
    <row r="369">
      <c r="A369" s="44"/>
      <c r="C369" s="5"/>
      <c r="E369" s="19"/>
      <c r="F369" s="5"/>
      <c r="H369" s="19"/>
      <c r="O369" s="5"/>
      <c r="Q369" s="5"/>
      <c r="R369" s="9"/>
    </row>
    <row r="370">
      <c r="A370" s="44"/>
      <c r="C370" s="5"/>
      <c r="E370" s="19"/>
      <c r="F370" s="5"/>
      <c r="H370" s="19"/>
      <c r="O370" s="5"/>
      <c r="Q370" s="5"/>
      <c r="R370" s="9"/>
    </row>
    <row r="371">
      <c r="A371" s="44"/>
      <c r="C371" s="5"/>
      <c r="E371" s="19"/>
      <c r="F371" s="5"/>
      <c r="H371" s="19"/>
      <c r="O371" s="5"/>
      <c r="Q371" s="5"/>
      <c r="R371" s="9"/>
    </row>
    <row r="372">
      <c r="A372" s="44"/>
      <c r="C372" s="5"/>
      <c r="E372" s="19"/>
      <c r="F372" s="5"/>
      <c r="H372" s="19"/>
      <c r="O372" s="5"/>
      <c r="Q372" s="5"/>
      <c r="R372" s="9"/>
    </row>
    <row r="373">
      <c r="A373" s="44"/>
      <c r="C373" s="5"/>
      <c r="E373" s="19"/>
      <c r="F373" s="5"/>
      <c r="H373" s="19"/>
      <c r="O373" s="5"/>
      <c r="Q373" s="5"/>
      <c r="R373" s="9"/>
    </row>
    <row r="374">
      <c r="A374" s="44"/>
      <c r="C374" s="5"/>
      <c r="E374" s="19"/>
      <c r="F374" s="5"/>
      <c r="H374" s="19"/>
      <c r="O374" s="5"/>
      <c r="Q374" s="5"/>
      <c r="R374" s="9"/>
    </row>
    <row r="375">
      <c r="A375" s="44"/>
      <c r="C375" s="5"/>
      <c r="E375" s="19"/>
      <c r="F375" s="5"/>
      <c r="H375" s="19"/>
      <c r="O375" s="5"/>
      <c r="Q375" s="5"/>
      <c r="R375" s="9"/>
    </row>
    <row r="376">
      <c r="A376" s="44"/>
      <c r="C376" s="5"/>
      <c r="E376" s="19"/>
      <c r="F376" s="5"/>
      <c r="H376" s="19"/>
      <c r="O376" s="5"/>
      <c r="Q376" s="5"/>
      <c r="R376" s="9"/>
    </row>
    <row r="377">
      <c r="A377" s="44"/>
      <c r="C377" s="5"/>
      <c r="E377" s="19"/>
      <c r="F377" s="5"/>
      <c r="H377" s="19"/>
      <c r="O377" s="5"/>
      <c r="Q377" s="5"/>
      <c r="R377" s="9"/>
    </row>
    <row r="378">
      <c r="A378" s="44"/>
      <c r="C378" s="5"/>
      <c r="E378" s="19"/>
      <c r="F378" s="5"/>
      <c r="H378" s="19"/>
      <c r="O378" s="5"/>
      <c r="Q378" s="5"/>
      <c r="R378" s="9"/>
    </row>
    <row r="379">
      <c r="A379" s="44"/>
      <c r="C379" s="5"/>
      <c r="E379" s="19"/>
      <c r="F379" s="5"/>
      <c r="H379" s="19"/>
      <c r="O379" s="5"/>
      <c r="Q379" s="5"/>
      <c r="R379" s="9"/>
    </row>
    <row r="380">
      <c r="A380" s="44"/>
      <c r="C380" s="5"/>
      <c r="E380" s="19"/>
      <c r="F380" s="5"/>
      <c r="H380" s="19"/>
      <c r="O380" s="5"/>
      <c r="Q380" s="5"/>
      <c r="R380" s="9"/>
    </row>
    <row r="381">
      <c r="A381" s="44"/>
      <c r="C381" s="5"/>
      <c r="E381" s="19"/>
      <c r="F381" s="5"/>
      <c r="H381" s="19"/>
      <c r="O381" s="5"/>
      <c r="Q381" s="5"/>
      <c r="R381" s="9"/>
    </row>
    <row r="382">
      <c r="A382" s="44"/>
      <c r="C382" s="5"/>
      <c r="E382" s="19"/>
      <c r="F382" s="5"/>
      <c r="H382" s="19"/>
      <c r="O382" s="5"/>
      <c r="Q382" s="5"/>
      <c r="R382" s="9"/>
    </row>
    <row r="383">
      <c r="A383" s="44"/>
      <c r="C383" s="5"/>
      <c r="E383" s="19"/>
      <c r="F383" s="5"/>
      <c r="H383" s="19"/>
      <c r="O383" s="5"/>
      <c r="Q383" s="5"/>
      <c r="R383" s="9"/>
    </row>
    <row r="384">
      <c r="A384" s="44"/>
      <c r="C384" s="5"/>
      <c r="E384" s="19"/>
      <c r="F384" s="5"/>
      <c r="H384" s="19"/>
      <c r="O384" s="5"/>
      <c r="Q384" s="5"/>
      <c r="R384" s="9"/>
    </row>
    <row r="385">
      <c r="A385" s="44"/>
      <c r="C385" s="5"/>
      <c r="E385" s="19"/>
      <c r="F385" s="5"/>
      <c r="H385" s="19"/>
      <c r="O385" s="5"/>
      <c r="Q385" s="5"/>
      <c r="R385" s="9"/>
    </row>
    <row r="386">
      <c r="A386" s="44"/>
      <c r="C386" s="5"/>
      <c r="E386" s="19"/>
      <c r="F386" s="5"/>
      <c r="H386" s="19"/>
      <c r="O386" s="5"/>
      <c r="Q386" s="5"/>
      <c r="R386" s="9"/>
    </row>
    <row r="387">
      <c r="A387" s="44"/>
      <c r="C387" s="5"/>
      <c r="E387" s="19"/>
      <c r="F387" s="5"/>
      <c r="H387" s="19"/>
      <c r="O387" s="5"/>
      <c r="Q387" s="5"/>
      <c r="R387" s="9"/>
    </row>
    <row r="388">
      <c r="A388" s="44"/>
      <c r="C388" s="5"/>
      <c r="E388" s="19"/>
      <c r="F388" s="5"/>
      <c r="H388" s="19"/>
      <c r="O388" s="5"/>
      <c r="Q388" s="5"/>
      <c r="R388" s="9"/>
    </row>
    <row r="389">
      <c r="A389" s="44"/>
      <c r="C389" s="5"/>
      <c r="E389" s="19"/>
      <c r="F389" s="5"/>
      <c r="H389" s="19"/>
      <c r="O389" s="5"/>
      <c r="Q389" s="5"/>
      <c r="R389" s="9"/>
    </row>
    <row r="390">
      <c r="A390" s="44"/>
      <c r="C390" s="5"/>
      <c r="E390" s="19"/>
      <c r="F390" s="5"/>
      <c r="H390" s="19"/>
      <c r="O390" s="5"/>
      <c r="Q390" s="5"/>
      <c r="R390" s="9"/>
    </row>
    <row r="391">
      <c r="A391" s="44"/>
      <c r="C391" s="5"/>
      <c r="E391" s="19"/>
      <c r="F391" s="5"/>
      <c r="H391" s="19"/>
      <c r="O391" s="5"/>
      <c r="Q391" s="5"/>
      <c r="R391" s="9"/>
    </row>
    <row r="392">
      <c r="A392" s="44"/>
      <c r="C392" s="5"/>
      <c r="E392" s="19"/>
      <c r="F392" s="5"/>
      <c r="H392" s="19"/>
      <c r="O392" s="5"/>
      <c r="Q392" s="5"/>
      <c r="R392" s="9"/>
    </row>
    <row r="393">
      <c r="A393" s="44"/>
      <c r="C393" s="5"/>
      <c r="E393" s="19"/>
      <c r="F393" s="5"/>
      <c r="H393" s="19"/>
      <c r="O393" s="5"/>
      <c r="Q393" s="5"/>
      <c r="R393" s="9"/>
    </row>
    <row r="394">
      <c r="A394" s="44"/>
      <c r="C394" s="5"/>
      <c r="E394" s="19"/>
      <c r="F394" s="5"/>
      <c r="H394" s="19"/>
      <c r="O394" s="5"/>
      <c r="Q394" s="5"/>
      <c r="R394" s="9"/>
    </row>
    <row r="395">
      <c r="A395" s="44"/>
      <c r="C395" s="5"/>
      <c r="E395" s="19"/>
      <c r="F395" s="5"/>
      <c r="H395" s="19"/>
      <c r="O395" s="5"/>
      <c r="Q395" s="5"/>
      <c r="R395" s="9"/>
    </row>
    <row r="396">
      <c r="A396" s="44"/>
      <c r="C396" s="5"/>
      <c r="E396" s="19"/>
      <c r="F396" s="5"/>
      <c r="H396" s="19"/>
      <c r="O396" s="5"/>
      <c r="Q396" s="5"/>
      <c r="R396" s="9"/>
    </row>
    <row r="397">
      <c r="A397" s="44"/>
      <c r="C397" s="5"/>
      <c r="E397" s="19"/>
      <c r="F397" s="5"/>
      <c r="H397" s="19"/>
      <c r="O397" s="5"/>
      <c r="Q397" s="5"/>
      <c r="R397" s="9"/>
    </row>
    <row r="398">
      <c r="A398" s="44"/>
      <c r="C398" s="5"/>
      <c r="E398" s="19"/>
      <c r="F398" s="5"/>
      <c r="H398" s="19"/>
      <c r="O398" s="5"/>
      <c r="Q398" s="5"/>
      <c r="R398" s="9"/>
    </row>
    <row r="399">
      <c r="A399" s="44"/>
      <c r="C399" s="5"/>
      <c r="E399" s="19"/>
      <c r="F399" s="5"/>
      <c r="H399" s="19"/>
      <c r="O399" s="5"/>
      <c r="Q399" s="5"/>
      <c r="R399" s="9"/>
    </row>
    <row r="400">
      <c r="A400" s="44"/>
      <c r="C400" s="5"/>
      <c r="E400" s="19"/>
      <c r="F400" s="5"/>
      <c r="H400" s="19"/>
      <c r="O400" s="5"/>
      <c r="Q400" s="5"/>
      <c r="R400" s="9"/>
    </row>
    <row r="401">
      <c r="A401" s="44"/>
      <c r="C401" s="5"/>
      <c r="E401" s="19"/>
      <c r="F401" s="5"/>
      <c r="H401" s="19"/>
      <c r="O401" s="5"/>
      <c r="Q401" s="5"/>
      <c r="R401" s="9"/>
    </row>
    <row r="402">
      <c r="A402" s="44"/>
      <c r="C402" s="5"/>
      <c r="E402" s="19"/>
      <c r="F402" s="5"/>
      <c r="H402" s="19"/>
      <c r="O402" s="5"/>
      <c r="Q402" s="5"/>
      <c r="R402" s="9"/>
    </row>
    <row r="403">
      <c r="A403" s="44"/>
      <c r="C403" s="5"/>
      <c r="E403" s="19"/>
      <c r="F403" s="5"/>
      <c r="H403" s="19"/>
      <c r="O403" s="5"/>
      <c r="Q403" s="5"/>
      <c r="R403" s="9"/>
    </row>
    <row r="404">
      <c r="A404" s="44"/>
      <c r="C404" s="5"/>
      <c r="E404" s="19"/>
      <c r="F404" s="5"/>
      <c r="H404" s="19"/>
      <c r="O404" s="5"/>
      <c r="Q404" s="5"/>
      <c r="R404" s="9"/>
    </row>
    <row r="405">
      <c r="A405" s="44"/>
      <c r="C405" s="5"/>
      <c r="E405" s="19"/>
      <c r="F405" s="5"/>
      <c r="H405" s="19"/>
      <c r="O405" s="5"/>
      <c r="Q405" s="5"/>
      <c r="R405" s="9"/>
    </row>
    <row r="406">
      <c r="A406" s="44"/>
      <c r="C406" s="5"/>
      <c r="E406" s="19"/>
      <c r="F406" s="5"/>
      <c r="H406" s="19"/>
      <c r="O406" s="5"/>
      <c r="Q406" s="5"/>
      <c r="R406" s="9"/>
    </row>
    <row r="407">
      <c r="A407" s="44"/>
      <c r="C407" s="5"/>
      <c r="E407" s="19"/>
      <c r="F407" s="5"/>
      <c r="H407" s="19"/>
      <c r="O407" s="5"/>
      <c r="Q407" s="5"/>
      <c r="R407" s="9"/>
    </row>
    <row r="408">
      <c r="A408" s="44"/>
      <c r="C408" s="5"/>
      <c r="E408" s="19"/>
      <c r="F408" s="5"/>
      <c r="H408" s="19"/>
      <c r="O408" s="5"/>
      <c r="Q408" s="5"/>
      <c r="R408" s="9"/>
    </row>
    <row r="409">
      <c r="A409" s="44"/>
      <c r="C409" s="5"/>
      <c r="E409" s="19"/>
      <c r="F409" s="5"/>
      <c r="H409" s="19"/>
      <c r="O409" s="5"/>
      <c r="Q409" s="5"/>
      <c r="R409" s="9"/>
    </row>
    <row r="410">
      <c r="A410" s="44"/>
      <c r="C410" s="5"/>
      <c r="E410" s="19"/>
      <c r="F410" s="5"/>
      <c r="H410" s="19"/>
      <c r="O410" s="5"/>
      <c r="Q410" s="5"/>
      <c r="R410" s="9"/>
    </row>
    <row r="411">
      <c r="A411" s="44"/>
      <c r="C411" s="5"/>
      <c r="E411" s="19"/>
      <c r="F411" s="5"/>
      <c r="H411" s="19"/>
      <c r="O411" s="5"/>
      <c r="Q411" s="5"/>
      <c r="R411" s="9"/>
    </row>
    <row r="412">
      <c r="A412" s="44"/>
      <c r="C412" s="5"/>
      <c r="E412" s="19"/>
      <c r="F412" s="5"/>
      <c r="H412" s="19"/>
      <c r="O412" s="5"/>
      <c r="Q412" s="5"/>
      <c r="R412" s="9"/>
    </row>
    <row r="413">
      <c r="A413" s="44"/>
      <c r="C413" s="5"/>
      <c r="E413" s="19"/>
      <c r="F413" s="5"/>
      <c r="H413" s="19"/>
      <c r="O413" s="5"/>
      <c r="Q413" s="5"/>
      <c r="R413" s="9"/>
    </row>
    <row r="414">
      <c r="A414" s="44"/>
      <c r="C414" s="5"/>
      <c r="E414" s="19"/>
      <c r="F414" s="5"/>
      <c r="H414" s="19"/>
      <c r="O414" s="5"/>
      <c r="Q414" s="5"/>
      <c r="R414" s="9"/>
    </row>
    <row r="415">
      <c r="A415" s="44"/>
      <c r="C415" s="5"/>
      <c r="E415" s="19"/>
      <c r="F415" s="5"/>
      <c r="H415" s="19"/>
      <c r="O415" s="5"/>
      <c r="Q415" s="5"/>
      <c r="R415" s="9"/>
    </row>
    <row r="416">
      <c r="A416" s="44"/>
      <c r="C416" s="5"/>
      <c r="E416" s="19"/>
      <c r="F416" s="5"/>
      <c r="H416" s="19"/>
      <c r="O416" s="5"/>
      <c r="Q416" s="5"/>
      <c r="R416" s="9"/>
    </row>
    <row r="417">
      <c r="A417" s="44"/>
      <c r="C417" s="5"/>
      <c r="E417" s="19"/>
      <c r="F417" s="5"/>
      <c r="H417" s="19"/>
      <c r="O417" s="5"/>
      <c r="Q417" s="5"/>
      <c r="R417" s="9"/>
    </row>
    <row r="418">
      <c r="A418" s="44"/>
      <c r="C418" s="5"/>
      <c r="E418" s="19"/>
      <c r="F418" s="5"/>
      <c r="H418" s="19"/>
      <c r="O418" s="5"/>
      <c r="Q418" s="5"/>
      <c r="R418" s="9"/>
    </row>
    <row r="419">
      <c r="A419" s="44"/>
      <c r="C419" s="5"/>
      <c r="E419" s="19"/>
      <c r="F419" s="5"/>
      <c r="H419" s="19"/>
      <c r="O419" s="5"/>
      <c r="Q419" s="5"/>
      <c r="R419" s="9"/>
    </row>
    <row r="420">
      <c r="A420" s="44"/>
      <c r="C420" s="5"/>
      <c r="E420" s="19"/>
      <c r="F420" s="5"/>
      <c r="H420" s="19"/>
      <c r="O420" s="5"/>
      <c r="Q420" s="5"/>
      <c r="R420" s="9"/>
    </row>
    <row r="421">
      <c r="A421" s="44"/>
      <c r="C421" s="5"/>
      <c r="E421" s="19"/>
      <c r="F421" s="5"/>
      <c r="H421" s="19"/>
      <c r="O421" s="5"/>
      <c r="Q421" s="5"/>
      <c r="R421" s="9"/>
    </row>
    <row r="422">
      <c r="A422" s="44"/>
      <c r="C422" s="5"/>
      <c r="E422" s="19"/>
      <c r="F422" s="5"/>
      <c r="H422" s="19"/>
      <c r="O422" s="5"/>
      <c r="Q422" s="5"/>
      <c r="R422" s="9"/>
    </row>
    <row r="423">
      <c r="A423" s="44"/>
      <c r="C423" s="5"/>
      <c r="E423" s="19"/>
      <c r="F423" s="5"/>
      <c r="H423" s="19"/>
      <c r="O423" s="5"/>
      <c r="Q423" s="5"/>
      <c r="R423" s="9"/>
    </row>
    <row r="424">
      <c r="A424" s="44"/>
      <c r="C424" s="5"/>
      <c r="E424" s="19"/>
      <c r="F424" s="5"/>
      <c r="H424" s="19"/>
      <c r="O424" s="5"/>
      <c r="Q424" s="5"/>
      <c r="R424" s="9"/>
    </row>
    <row r="425">
      <c r="A425" s="44"/>
      <c r="C425" s="5"/>
      <c r="E425" s="19"/>
      <c r="F425" s="5"/>
      <c r="H425" s="19"/>
      <c r="O425" s="5"/>
      <c r="Q425" s="5"/>
      <c r="R425" s="9"/>
    </row>
    <row r="426">
      <c r="A426" s="44"/>
      <c r="C426" s="5"/>
      <c r="E426" s="19"/>
      <c r="F426" s="5"/>
      <c r="H426" s="19"/>
      <c r="O426" s="5"/>
      <c r="Q426" s="5"/>
      <c r="R426" s="9"/>
    </row>
    <row r="427">
      <c r="A427" s="44"/>
      <c r="C427" s="5"/>
      <c r="E427" s="19"/>
      <c r="F427" s="5"/>
      <c r="H427" s="19"/>
      <c r="O427" s="5"/>
      <c r="Q427" s="5"/>
      <c r="R427" s="9"/>
    </row>
    <row r="428">
      <c r="A428" s="44"/>
      <c r="C428" s="5"/>
      <c r="E428" s="19"/>
      <c r="F428" s="5"/>
      <c r="H428" s="19"/>
      <c r="O428" s="5"/>
      <c r="Q428" s="5"/>
      <c r="R428" s="9"/>
    </row>
    <row r="429">
      <c r="A429" s="44"/>
      <c r="C429" s="5"/>
      <c r="E429" s="19"/>
      <c r="F429" s="5"/>
      <c r="H429" s="19"/>
      <c r="O429" s="5"/>
      <c r="Q429" s="5"/>
      <c r="R429" s="9"/>
    </row>
    <row r="430">
      <c r="A430" s="44"/>
      <c r="C430" s="5"/>
      <c r="E430" s="19"/>
      <c r="F430" s="5"/>
      <c r="H430" s="19"/>
      <c r="O430" s="5"/>
      <c r="Q430" s="5"/>
      <c r="R430" s="9"/>
    </row>
    <row r="431">
      <c r="A431" s="44"/>
      <c r="C431" s="5"/>
      <c r="E431" s="19"/>
      <c r="F431" s="5"/>
      <c r="H431" s="19"/>
      <c r="O431" s="5"/>
      <c r="Q431" s="5"/>
      <c r="R431" s="9"/>
    </row>
    <row r="432">
      <c r="A432" s="44"/>
      <c r="C432" s="5"/>
      <c r="E432" s="19"/>
      <c r="F432" s="5"/>
      <c r="H432" s="19"/>
      <c r="O432" s="5"/>
      <c r="Q432" s="5"/>
      <c r="R432" s="9"/>
    </row>
    <row r="433">
      <c r="A433" s="44"/>
      <c r="C433" s="5"/>
      <c r="E433" s="19"/>
      <c r="F433" s="5"/>
      <c r="H433" s="19"/>
      <c r="O433" s="5"/>
      <c r="Q433" s="5"/>
      <c r="R433" s="9"/>
    </row>
    <row r="434">
      <c r="A434" s="44"/>
      <c r="C434" s="5"/>
      <c r="E434" s="19"/>
      <c r="F434" s="5"/>
      <c r="H434" s="19"/>
      <c r="O434" s="5"/>
      <c r="Q434" s="5"/>
      <c r="R434" s="9"/>
    </row>
    <row r="435">
      <c r="A435" s="44"/>
      <c r="C435" s="5"/>
      <c r="E435" s="19"/>
      <c r="F435" s="5"/>
      <c r="H435" s="19"/>
      <c r="O435" s="5"/>
      <c r="Q435" s="5"/>
      <c r="R435" s="9"/>
    </row>
    <row r="436">
      <c r="A436" s="44"/>
      <c r="C436" s="5"/>
      <c r="E436" s="19"/>
      <c r="F436" s="5"/>
      <c r="H436" s="19"/>
      <c r="O436" s="5"/>
      <c r="Q436" s="5"/>
      <c r="R436" s="9"/>
    </row>
    <row r="437">
      <c r="A437" s="44"/>
      <c r="C437" s="5"/>
      <c r="E437" s="19"/>
      <c r="F437" s="5"/>
      <c r="H437" s="19"/>
      <c r="O437" s="5"/>
      <c r="Q437" s="5"/>
      <c r="R437" s="9"/>
    </row>
    <row r="438">
      <c r="A438" s="44"/>
      <c r="C438" s="5"/>
      <c r="E438" s="19"/>
      <c r="F438" s="5"/>
      <c r="H438" s="19"/>
      <c r="O438" s="5"/>
      <c r="Q438" s="5"/>
      <c r="R438" s="9"/>
    </row>
    <row r="439">
      <c r="A439" s="44"/>
      <c r="C439" s="5"/>
      <c r="E439" s="19"/>
      <c r="F439" s="5"/>
      <c r="H439" s="19"/>
      <c r="O439" s="5"/>
      <c r="Q439" s="5"/>
      <c r="R439" s="9"/>
    </row>
    <row r="440">
      <c r="A440" s="44"/>
      <c r="C440" s="5"/>
      <c r="E440" s="19"/>
      <c r="F440" s="5"/>
      <c r="H440" s="19"/>
      <c r="O440" s="5"/>
      <c r="Q440" s="5"/>
      <c r="R440" s="9"/>
    </row>
    <row r="441">
      <c r="A441" s="44"/>
      <c r="C441" s="5"/>
      <c r="E441" s="19"/>
      <c r="F441" s="5"/>
      <c r="H441" s="19"/>
      <c r="O441" s="5"/>
      <c r="Q441" s="5"/>
      <c r="R441" s="9"/>
    </row>
    <row r="442">
      <c r="A442" s="44"/>
      <c r="C442" s="5"/>
      <c r="E442" s="19"/>
      <c r="F442" s="5"/>
      <c r="H442" s="19"/>
      <c r="O442" s="5"/>
      <c r="Q442" s="5"/>
      <c r="R442" s="9"/>
    </row>
    <row r="443">
      <c r="A443" s="44"/>
      <c r="C443" s="5"/>
      <c r="E443" s="19"/>
      <c r="F443" s="5"/>
      <c r="H443" s="19"/>
      <c r="O443" s="5"/>
      <c r="Q443" s="5"/>
      <c r="R443" s="9"/>
    </row>
    <row r="444">
      <c r="A444" s="44"/>
      <c r="C444" s="5"/>
      <c r="E444" s="19"/>
      <c r="F444" s="5"/>
      <c r="H444" s="19"/>
      <c r="O444" s="5"/>
      <c r="Q444" s="5"/>
      <c r="R444" s="9"/>
    </row>
    <row r="445">
      <c r="A445" s="44"/>
      <c r="C445" s="5"/>
      <c r="E445" s="19"/>
      <c r="F445" s="5"/>
      <c r="H445" s="19"/>
      <c r="O445" s="5"/>
      <c r="Q445" s="5"/>
      <c r="R445" s="9"/>
    </row>
    <row r="446">
      <c r="A446" s="44"/>
      <c r="C446" s="5"/>
      <c r="E446" s="19"/>
      <c r="F446" s="5"/>
      <c r="H446" s="19"/>
      <c r="O446" s="5"/>
      <c r="Q446" s="5"/>
      <c r="R446" s="9"/>
    </row>
    <row r="447">
      <c r="A447" s="44"/>
      <c r="C447" s="5"/>
      <c r="E447" s="19"/>
      <c r="F447" s="5"/>
      <c r="H447" s="19"/>
      <c r="O447" s="5"/>
      <c r="Q447" s="5"/>
      <c r="R447" s="9"/>
    </row>
    <row r="448">
      <c r="A448" s="44"/>
      <c r="C448" s="5"/>
      <c r="E448" s="19"/>
      <c r="F448" s="5"/>
      <c r="H448" s="19"/>
      <c r="O448" s="5"/>
      <c r="Q448" s="5"/>
      <c r="R448" s="9"/>
    </row>
    <row r="449">
      <c r="A449" s="44"/>
      <c r="C449" s="5"/>
      <c r="E449" s="19"/>
      <c r="F449" s="5"/>
      <c r="H449" s="19"/>
      <c r="O449" s="5"/>
      <c r="Q449" s="5"/>
      <c r="R449" s="9"/>
    </row>
    <row r="450">
      <c r="A450" s="44"/>
      <c r="C450" s="5"/>
      <c r="E450" s="19"/>
      <c r="F450" s="5"/>
      <c r="H450" s="19"/>
      <c r="O450" s="5"/>
      <c r="Q450" s="5"/>
      <c r="R450" s="9"/>
    </row>
    <row r="451">
      <c r="A451" s="44"/>
      <c r="C451" s="5"/>
      <c r="E451" s="19"/>
      <c r="F451" s="5"/>
      <c r="H451" s="19"/>
      <c r="O451" s="5"/>
      <c r="Q451" s="5"/>
      <c r="R451" s="9"/>
    </row>
    <row r="452">
      <c r="A452" s="44"/>
      <c r="C452" s="5"/>
      <c r="E452" s="19"/>
      <c r="F452" s="5"/>
      <c r="H452" s="19"/>
      <c r="O452" s="5"/>
      <c r="Q452" s="5"/>
      <c r="R452" s="9"/>
    </row>
    <row r="453">
      <c r="A453" s="44"/>
      <c r="C453" s="5"/>
      <c r="E453" s="19"/>
      <c r="F453" s="5"/>
      <c r="H453" s="19"/>
      <c r="O453" s="5"/>
      <c r="Q453" s="5"/>
      <c r="R453" s="9"/>
    </row>
    <row r="454">
      <c r="A454" s="44"/>
      <c r="C454" s="5"/>
      <c r="E454" s="19"/>
      <c r="F454" s="5"/>
      <c r="H454" s="19"/>
      <c r="O454" s="5"/>
      <c r="Q454" s="5"/>
      <c r="R454" s="9"/>
    </row>
    <row r="455">
      <c r="A455" s="44"/>
      <c r="C455" s="5"/>
      <c r="E455" s="19"/>
      <c r="F455" s="5"/>
      <c r="H455" s="19"/>
      <c r="O455" s="5"/>
      <c r="Q455" s="5"/>
      <c r="R455" s="9"/>
    </row>
    <row r="456">
      <c r="A456" s="44"/>
      <c r="C456" s="5"/>
      <c r="E456" s="19"/>
      <c r="F456" s="5"/>
      <c r="H456" s="19"/>
      <c r="O456" s="5"/>
      <c r="Q456" s="5"/>
      <c r="R456" s="9"/>
    </row>
    <row r="457">
      <c r="A457" s="44"/>
      <c r="C457" s="5"/>
      <c r="E457" s="19"/>
      <c r="F457" s="5"/>
      <c r="H457" s="19"/>
      <c r="O457" s="5"/>
      <c r="Q457" s="5"/>
      <c r="R457" s="9"/>
    </row>
    <row r="458">
      <c r="A458" s="44"/>
      <c r="C458" s="5"/>
      <c r="E458" s="19"/>
      <c r="F458" s="5"/>
      <c r="H458" s="19"/>
      <c r="O458" s="5"/>
      <c r="Q458" s="5"/>
      <c r="R458" s="9"/>
    </row>
    <row r="459">
      <c r="A459" s="44"/>
      <c r="C459" s="5"/>
      <c r="E459" s="19"/>
      <c r="F459" s="5"/>
      <c r="H459" s="19"/>
      <c r="O459" s="5"/>
      <c r="Q459" s="5"/>
      <c r="R459" s="9"/>
    </row>
    <row r="460">
      <c r="A460" s="44"/>
      <c r="C460" s="5"/>
      <c r="E460" s="19"/>
      <c r="F460" s="5"/>
      <c r="H460" s="19"/>
      <c r="O460" s="5"/>
      <c r="Q460" s="5"/>
      <c r="R460" s="9"/>
    </row>
    <row r="461">
      <c r="A461" s="44"/>
      <c r="C461" s="5"/>
      <c r="E461" s="19"/>
      <c r="F461" s="5"/>
      <c r="H461" s="19"/>
      <c r="O461" s="5"/>
      <c r="Q461" s="5"/>
      <c r="R461" s="9"/>
    </row>
    <row r="462">
      <c r="A462" s="44"/>
      <c r="C462" s="5"/>
      <c r="E462" s="19"/>
      <c r="F462" s="5"/>
      <c r="H462" s="19"/>
      <c r="O462" s="5"/>
      <c r="Q462" s="5"/>
      <c r="R462" s="9"/>
    </row>
    <row r="463">
      <c r="A463" s="44"/>
      <c r="C463" s="5"/>
      <c r="E463" s="19"/>
      <c r="F463" s="5"/>
      <c r="H463" s="19"/>
      <c r="O463" s="5"/>
      <c r="Q463" s="5"/>
      <c r="R463" s="9"/>
    </row>
    <row r="464">
      <c r="A464" s="44"/>
      <c r="C464" s="5"/>
      <c r="E464" s="19"/>
      <c r="F464" s="5"/>
      <c r="H464" s="19"/>
      <c r="O464" s="5"/>
      <c r="Q464" s="5"/>
      <c r="R464" s="9"/>
    </row>
    <row r="465">
      <c r="A465" s="44"/>
      <c r="C465" s="5"/>
      <c r="E465" s="19"/>
      <c r="F465" s="5"/>
      <c r="H465" s="19"/>
      <c r="O465" s="5"/>
      <c r="Q465" s="5"/>
      <c r="R465" s="9"/>
    </row>
    <row r="466">
      <c r="A466" s="44"/>
      <c r="C466" s="5"/>
      <c r="E466" s="19"/>
      <c r="F466" s="5"/>
      <c r="H466" s="19"/>
      <c r="O466" s="5"/>
      <c r="Q466" s="5"/>
      <c r="R466" s="9"/>
    </row>
    <row r="467">
      <c r="A467" s="44"/>
      <c r="C467" s="5"/>
      <c r="E467" s="19"/>
      <c r="F467" s="5"/>
      <c r="H467" s="19"/>
      <c r="O467" s="5"/>
      <c r="Q467" s="5"/>
      <c r="R467" s="9"/>
    </row>
    <row r="468">
      <c r="A468" s="44"/>
      <c r="C468" s="5"/>
      <c r="E468" s="19"/>
      <c r="F468" s="5"/>
      <c r="H468" s="19"/>
      <c r="O468" s="5"/>
      <c r="Q468" s="5"/>
      <c r="R468" s="9"/>
    </row>
    <row r="469">
      <c r="A469" s="44"/>
      <c r="C469" s="5"/>
      <c r="E469" s="19"/>
      <c r="F469" s="5"/>
      <c r="H469" s="19"/>
      <c r="O469" s="5"/>
      <c r="Q469" s="5"/>
      <c r="R469" s="9"/>
    </row>
    <row r="470">
      <c r="A470" s="44"/>
      <c r="C470" s="5"/>
      <c r="E470" s="19"/>
      <c r="F470" s="5"/>
      <c r="H470" s="19"/>
      <c r="O470" s="5"/>
      <c r="Q470" s="5"/>
      <c r="R470" s="9"/>
    </row>
    <row r="471">
      <c r="A471" s="44"/>
      <c r="C471" s="5"/>
      <c r="E471" s="19"/>
      <c r="F471" s="5"/>
      <c r="H471" s="19"/>
      <c r="O471" s="5"/>
      <c r="Q471" s="5"/>
      <c r="R471" s="9"/>
    </row>
    <row r="472">
      <c r="A472" s="44"/>
      <c r="C472" s="5"/>
      <c r="E472" s="19"/>
      <c r="F472" s="5"/>
      <c r="H472" s="19"/>
      <c r="O472" s="5"/>
      <c r="Q472" s="5"/>
      <c r="R472" s="9"/>
    </row>
    <row r="473">
      <c r="A473" s="44"/>
      <c r="C473" s="5"/>
      <c r="E473" s="19"/>
      <c r="F473" s="5"/>
      <c r="H473" s="19"/>
      <c r="O473" s="5"/>
      <c r="Q473" s="5"/>
      <c r="R473" s="9"/>
    </row>
    <row r="474">
      <c r="A474" s="44"/>
      <c r="C474" s="5"/>
      <c r="E474" s="19"/>
      <c r="F474" s="5"/>
      <c r="H474" s="19"/>
      <c r="O474" s="5"/>
      <c r="Q474" s="5"/>
      <c r="R474" s="9"/>
    </row>
    <row r="475">
      <c r="A475" s="44"/>
      <c r="C475" s="5"/>
      <c r="E475" s="19"/>
      <c r="F475" s="5"/>
      <c r="H475" s="19"/>
      <c r="O475" s="5"/>
      <c r="Q475" s="5"/>
      <c r="R475" s="9"/>
    </row>
    <row r="476">
      <c r="A476" s="44"/>
      <c r="C476" s="5"/>
      <c r="E476" s="19"/>
      <c r="F476" s="5"/>
      <c r="H476" s="19"/>
      <c r="O476" s="5"/>
      <c r="Q476" s="5"/>
      <c r="R476" s="9"/>
    </row>
    <row r="477">
      <c r="A477" s="44"/>
      <c r="C477" s="5"/>
      <c r="E477" s="19"/>
      <c r="F477" s="5"/>
      <c r="H477" s="19"/>
      <c r="O477" s="5"/>
      <c r="Q477" s="5"/>
      <c r="R477" s="9"/>
    </row>
    <row r="478">
      <c r="A478" s="44"/>
      <c r="C478" s="5"/>
      <c r="E478" s="19"/>
      <c r="F478" s="5"/>
      <c r="H478" s="19"/>
      <c r="O478" s="5"/>
      <c r="Q478" s="5"/>
      <c r="R478" s="9"/>
    </row>
    <row r="479">
      <c r="A479" s="44"/>
      <c r="C479" s="5"/>
      <c r="E479" s="19"/>
      <c r="F479" s="5"/>
      <c r="H479" s="19"/>
      <c r="O479" s="5"/>
      <c r="Q479" s="5"/>
      <c r="R479" s="9"/>
    </row>
    <row r="480">
      <c r="A480" s="44"/>
      <c r="C480" s="5"/>
      <c r="E480" s="19"/>
      <c r="F480" s="5"/>
      <c r="H480" s="19"/>
      <c r="O480" s="5"/>
      <c r="Q480" s="5"/>
      <c r="R480" s="9"/>
    </row>
    <row r="481">
      <c r="A481" s="44"/>
      <c r="C481" s="5"/>
      <c r="E481" s="19"/>
      <c r="F481" s="5"/>
      <c r="H481" s="19"/>
      <c r="O481" s="5"/>
      <c r="Q481" s="5"/>
      <c r="R481" s="9"/>
    </row>
    <row r="482">
      <c r="A482" s="44"/>
      <c r="C482" s="5"/>
      <c r="E482" s="19"/>
      <c r="F482" s="5"/>
      <c r="H482" s="19"/>
      <c r="O482" s="5"/>
      <c r="Q482" s="5"/>
      <c r="R482" s="9"/>
    </row>
    <row r="483">
      <c r="A483" s="44"/>
      <c r="C483" s="5"/>
      <c r="E483" s="19"/>
      <c r="F483" s="5"/>
      <c r="H483" s="19"/>
      <c r="O483" s="5"/>
      <c r="Q483" s="5"/>
      <c r="R483" s="9"/>
    </row>
    <row r="484">
      <c r="A484" s="44"/>
      <c r="C484" s="5"/>
      <c r="E484" s="19"/>
      <c r="F484" s="5"/>
      <c r="H484" s="19"/>
      <c r="O484" s="5"/>
      <c r="Q484" s="5"/>
      <c r="R484" s="9"/>
    </row>
    <row r="485">
      <c r="A485" s="44"/>
      <c r="C485" s="5"/>
      <c r="E485" s="19"/>
      <c r="F485" s="5"/>
      <c r="H485" s="19"/>
      <c r="O485" s="5"/>
      <c r="Q485" s="5"/>
      <c r="R485" s="9"/>
    </row>
    <row r="486">
      <c r="A486" s="44"/>
      <c r="C486" s="5"/>
      <c r="E486" s="19"/>
      <c r="F486" s="5"/>
      <c r="H486" s="19"/>
      <c r="O486" s="5"/>
      <c r="Q486" s="5"/>
      <c r="R486" s="9"/>
    </row>
    <row r="487">
      <c r="A487" s="44"/>
      <c r="C487" s="5"/>
      <c r="E487" s="19"/>
      <c r="F487" s="5"/>
      <c r="H487" s="19"/>
      <c r="O487" s="5"/>
      <c r="Q487" s="5"/>
      <c r="R487" s="9"/>
    </row>
    <row r="488">
      <c r="A488" s="44"/>
      <c r="C488" s="5"/>
      <c r="E488" s="19"/>
      <c r="F488" s="5"/>
      <c r="H488" s="19"/>
      <c r="O488" s="5"/>
      <c r="Q488" s="5"/>
      <c r="R488" s="9"/>
    </row>
    <row r="489">
      <c r="A489" s="44"/>
      <c r="C489" s="5"/>
      <c r="E489" s="19"/>
      <c r="F489" s="5"/>
      <c r="H489" s="19"/>
      <c r="O489" s="5"/>
      <c r="Q489" s="5"/>
      <c r="R489" s="9"/>
    </row>
    <row r="490">
      <c r="A490" s="44"/>
      <c r="C490" s="5"/>
      <c r="E490" s="19"/>
      <c r="F490" s="5"/>
      <c r="H490" s="19"/>
      <c r="O490" s="5"/>
      <c r="Q490" s="5"/>
      <c r="R490" s="9"/>
    </row>
    <row r="491">
      <c r="A491" s="44"/>
      <c r="C491" s="5"/>
      <c r="E491" s="19"/>
      <c r="F491" s="5"/>
      <c r="H491" s="19"/>
      <c r="O491" s="5"/>
      <c r="Q491" s="5"/>
      <c r="R491" s="9"/>
    </row>
    <row r="492">
      <c r="A492" s="44"/>
      <c r="C492" s="5"/>
      <c r="E492" s="19"/>
      <c r="F492" s="5"/>
      <c r="H492" s="19"/>
      <c r="O492" s="5"/>
      <c r="Q492" s="5"/>
      <c r="R492" s="9"/>
    </row>
    <row r="493">
      <c r="A493" s="44"/>
      <c r="C493" s="5"/>
      <c r="E493" s="19"/>
      <c r="F493" s="5"/>
      <c r="H493" s="19"/>
      <c r="O493" s="5"/>
      <c r="Q493" s="5"/>
      <c r="R493" s="9"/>
    </row>
    <row r="494">
      <c r="A494" s="44"/>
      <c r="C494" s="5"/>
      <c r="E494" s="19"/>
      <c r="F494" s="5"/>
      <c r="H494" s="19"/>
      <c r="O494" s="5"/>
      <c r="Q494" s="5"/>
      <c r="R494" s="9"/>
    </row>
    <row r="495">
      <c r="A495" s="44"/>
      <c r="C495" s="5"/>
      <c r="E495" s="19"/>
      <c r="F495" s="5"/>
      <c r="H495" s="19"/>
      <c r="O495" s="5"/>
      <c r="Q495" s="5"/>
      <c r="R495" s="9"/>
    </row>
    <row r="496">
      <c r="A496" s="44"/>
      <c r="C496" s="5"/>
      <c r="E496" s="19"/>
      <c r="F496" s="5"/>
      <c r="H496" s="19"/>
      <c r="O496" s="5"/>
      <c r="Q496" s="5"/>
      <c r="R496" s="9"/>
    </row>
    <row r="497">
      <c r="A497" s="44"/>
      <c r="C497" s="5"/>
      <c r="E497" s="19"/>
      <c r="F497" s="5"/>
      <c r="H497" s="19"/>
      <c r="O497" s="5"/>
      <c r="Q497" s="5"/>
      <c r="R497" s="9"/>
    </row>
    <row r="498">
      <c r="A498" s="44"/>
      <c r="C498" s="5"/>
      <c r="E498" s="19"/>
      <c r="F498" s="5"/>
      <c r="H498" s="19"/>
      <c r="O498" s="5"/>
      <c r="Q498" s="5"/>
      <c r="R498" s="9"/>
    </row>
    <row r="499">
      <c r="A499" s="44"/>
      <c r="C499" s="5"/>
      <c r="E499" s="19"/>
      <c r="F499" s="5"/>
      <c r="H499" s="19"/>
      <c r="O499" s="5"/>
      <c r="Q499" s="5"/>
      <c r="R499" s="9"/>
    </row>
    <row r="500">
      <c r="A500" s="44"/>
      <c r="C500" s="5"/>
      <c r="E500" s="19"/>
      <c r="F500" s="5"/>
      <c r="H500" s="19"/>
      <c r="O500" s="5"/>
      <c r="Q500" s="5"/>
      <c r="R500" s="9"/>
    </row>
    <row r="501">
      <c r="A501" s="44"/>
      <c r="C501" s="5"/>
      <c r="E501" s="19"/>
      <c r="F501" s="5"/>
      <c r="H501" s="19"/>
      <c r="O501" s="5"/>
      <c r="Q501" s="5"/>
      <c r="R501" s="9"/>
    </row>
    <row r="502">
      <c r="A502" s="44"/>
      <c r="C502" s="5"/>
      <c r="E502" s="19"/>
      <c r="F502" s="5"/>
      <c r="H502" s="19"/>
      <c r="O502" s="5"/>
      <c r="Q502" s="5"/>
      <c r="R502" s="9"/>
    </row>
    <row r="503">
      <c r="A503" s="44"/>
      <c r="C503" s="5"/>
      <c r="E503" s="19"/>
      <c r="F503" s="5"/>
      <c r="H503" s="19"/>
      <c r="O503" s="5"/>
      <c r="Q503" s="5"/>
      <c r="R503" s="9"/>
    </row>
    <row r="504">
      <c r="A504" s="44"/>
      <c r="C504" s="5"/>
      <c r="E504" s="19"/>
      <c r="F504" s="5"/>
      <c r="H504" s="19"/>
      <c r="O504" s="5"/>
      <c r="Q504" s="5"/>
      <c r="R504" s="9"/>
    </row>
    <row r="505">
      <c r="A505" s="44"/>
      <c r="C505" s="5"/>
      <c r="E505" s="19"/>
      <c r="F505" s="5"/>
      <c r="H505" s="19"/>
      <c r="O505" s="5"/>
      <c r="Q505" s="5"/>
      <c r="R505" s="9"/>
    </row>
    <row r="506">
      <c r="A506" s="44"/>
      <c r="C506" s="5"/>
      <c r="E506" s="19"/>
      <c r="F506" s="5"/>
      <c r="H506" s="19"/>
      <c r="O506" s="5"/>
      <c r="Q506" s="5"/>
      <c r="R506" s="9"/>
    </row>
    <row r="507">
      <c r="A507" s="44"/>
      <c r="C507" s="5"/>
      <c r="E507" s="19"/>
      <c r="F507" s="5"/>
      <c r="H507" s="19"/>
      <c r="O507" s="5"/>
      <c r="Q507" s="5"/>
      <c r="R507" s="9"/>
    </row>
    <row r="508">
      <c r="A508" s="44"/>
      <c r="C508" s="5"/>
      <c r="E508" s="19"/>
      <c r="F508" s="5"/>
      <c r="H508" s="19"/>
      <c r="O508" s="5"/>
      <c r="Q508" s="5"/>
      <c r="R508" s="9"/>
    </row>
    <row r="509">
      <c r="A509" s="44"/>
      <c r="C509" s="5"/>
      <c r="E509" s="19"/>
      <c r="F509" s="5"/>
      <c r="H509" s="19"/>
      <c r="O509" s="5"/>
      <c r="Q509" s="5"/>
      <c r="R509" s="9"/>
    </row>
    <row r="510">
      <c r="A510" s="44"/>
      <c r="C510" s="5"/>
      <c r="E510" s="19"/>
      <c r="F510" s="5"/>
      <c r="H510" s="19"/>
      <c r="O510" s="5"/>
      <c r="Q510" s="5"/>
      <c r="R510" s="9"/>
    </row>
    <row r="511">
      <c r="A511" s="44"/>
      <c r="C511" s="5"/>
      <c r="E511" s="19"/>
      <c r="F511" s="5"/>
      <c r="H511" s="19"/>
      <c r="O511" s="5"/>
      <c r="Q511" s="5"/>
      <c r="R511" s="9"/>
    </row>
    <row r="512">
      <c r="A512" s="44"/>
      <c r="C512" s="5"/>
      <c r="E512" s="19"/>
      <c r="F512" s="5"/>
      <c r="H512" s="19"/>
      <c r="O512" s="5"/>
      <c r="Q512" s="5"/>
      <c r="R512" s="9"/>
    </row>
    <row r="513">
      <c r="A513" s="44"/>
      <c r="C513" s="5"/>
      <c r="E513" s="19"/>
      <c r="F513" s="5"/>
      <c r="H513" s="19"/>
      <c r="O513" s="5"/>
      <c r="Q513" s="5"/>
      <c r="R513" s="9"/>
    </row>
    <row r="514">
      <c r="A514" s="44"/>
      <c r="C514" s="5"/>
      <c r="E514" s="19"/>
      <c r="F514" s="5"/>
      <c r="H514" s="19"/>
      <c r="O514" s="5"/>
      <c r="Q514" s="5"/>
      <c r="R514" s="9"/>
    </row>
    <row r="515">
      <c r="A515" s="44"/>
      <c r="C515" s="5"/>
      <c r="E515" s="19"/>
      <c r="F515" s="5"/>
      <c r="H515" s="19"/>
      <c r="O515" s="5"/>
      <c r="Q515" s="5"/>
      <c r="R515" s="9"/>
    </row>
    <row r="516">
      <c r="A516" s="44"/>
      <c r="C516" s="5"/>
      <c r="E516" s="19"/>
      <c r="F516" s="5"/>
      <c r="H516" s="19"/>
      <c r="O516" s="5"/>
      <c r="Q516" s="5"/>
      <c r="R516" s="9"/>
    </row>
    <row r="517">
      <c r="A517" s="44"/>
      <c r="C517" s="5"/>
      <c r="E517" s="19"/>
      <c r="F517" s="5"/>
      <c r="H517" s="19"/>
      <c r="O517" s="5"/>
      <c r="Q517" s="5"/>
      <c r="R517" s="9"/>
    </row>
    <row r="518">
      <c r="A518" s="44"/>
      <c r="C518" s="5"/>
      <c r="E518" s="19"/>
      <c r="F518" s="5"/>
      <c r="H518" s="19"/>
      <c r="O518" s="5"/>
      <c r="Q518" s="5"/>
      <c r="R518" s="9"/>
    </row>
    <row r="519">
      <c r="A519" s="44"/>
      <c r="C519" s="5"/>
      <c r="E519" s="19"/>
      <c r="F519" s="5"/>
      <c r="H519" s="19"/>
      <c r="O519" s="5"/>
      <c r="Q519" s="5"/>
      <c r="R519" s="9"/>
    </row>
    <row r="520">
      <c r="A520" s="44"/>
      <c r="C520" s="5"/>
      <c r="E520" s="19"/>
      <c r="F520" s="5"/>
      <c r="H520" s="19"/>
      <c r="O520" s="5"/>
      <c r="Q520" s="5"/>
      <c r="R520" s="9"/>
    </row>
    <row r="521">
      <c r="A521" s="44"/>
      <c r="C521" s="5"/>
      <c r="E521" s="19"/>
      <c r="F521" s="5"/>
      <c r="H521" s="19"/>
      <c r="O521" s="5"/>
      <c r="Q521" s="5"/>
      <c r="R521" s="9"/>
    </row>
    <row r="522">
      <c r="A522" s="44"/>
      <c r="C522" s="5"/>
      <c r="E522" s="19"/>
      <c r="F522" s="5"/>
      <c r="H522" s="19"/>
      <c r="O522" s="5"/>
      <c r="Q522" s="5"/>
      <c r="R522" s="9"/>
    </row>
    <row r="523">
      <c r="A523" s="44"/>
      <c r="C523" s="5"/>
      <c r="E523" s="19"/>
      <c r="F523" s="5"/>
      <c r="H523" s="19"/>
      <c r="O523" s="5"/>
      <c r="Q523" s="5"/>
      <c r="R523" s="9"/>
    </row>
    <row r="524">
      <c r="A524" s="44"/>
      <c r="C524" s="5"/>
      <c r="E524" s="19"/>
      <c r="F524" s="5"/>
      <c r="H524" s="19"/>
      <c r="O524" s="5"/>
      <c r="Q524" s="5"/>
      <c r="R524" s="9"/>
    </row>
    <row r="525">
      <c r="A525" s="44"/>
      <c r="C525" s="5"/>
      <c r="E525" s="19"/>
      <c r="F525" s="5"/>
      <c r="H525" s="19"/>
      <c r="O525" s="5"/>
      <c r="Q525" s="5"/>
      <c r="R525" s="9"/>
    </row>
    <row r="526">
      <c r="A526" s="44"/>
      <c r="C526" s="5"/>
      <c r="E526" s="19"/>
      <c r="F526" s="5"/>
      <c r="H526" s="19"/>
      <c r="O526" s="5"/>
      <c r="Q526" s="5"/>
      <c r="R526" s="9"/>
    </row>
    <row r="527">
      <c r="A527" s="44"/>
      <c r="C527" s="5"/>
      <c r="E527" s="19"/>
      <c r="F527" s="5"/>
      <c r="H527" s="19"/>
      <c r="O527" s="5"/>
      <c r="Q527" s="5"/>
      <c r="R527" s="9"/>
    </row>
    <row r="528">
      <c r="A528" s="44"/>
      <c r="C528" s="5"/>
      <c r="E528" s="19"/>
      <c r="F528" s="5"/>
      <c r="H528" s="19"/>
      <c r="O528" s="5"/>
      <c r="Q528" s="5"/>
      <c r="R528" s="9"/>
    </row>
    <row r="529">
      <c r="A529" s="44"/>
      <c r="C529" s="5"/>
      <c r="E529" s="19"/>
      <c r="F529" s="5"/>
      <c r="H529" s="19"/>
      <c r="O529" s="5"/>
      <c r="Q529" s="5"/>
      <c r="R529" s="9"/>
    </row>
    <row r="530">
      <c r="A530" s="44"/>
      <c r="C530" s="5"/>
      <c r="E530" s="19"/>
      <c r="F530" s="5"/>
      <c r="H530" s="19"/>
      <c r="O530" s="5"/>
      <c r="Q530" s="5"/>
      <c r="R530" s="9"/>
    </row>
    <row r="531">
      <c r="A531" s="44"/>
      <c r="C531" s="5"/>
      <c r="E531" s="19"/>
      <c r="F531" s="5"/>
      <c r="H531" s="19"/>
      <c r="O531" s="5"/>
      <c r="Q531" s="5"/>
      <c r="R531" s="9"/>
    </row>
    <row r="532">
      <c r="A532" s="44"/>
      <c r="C532" s="5"/>
      <c r="E532" s="19"/>
      <c r="F532" s="5"/>
      <c r="H532" s="19"/>
      <c r="O532" s="5"/>
      <c r="Q532" s="5"/>
      <c r="R532" s="9"/>
    </row>
    <row r="533">
      <c r="A533" s="44"/>
      <c r="C533" s="5"/>
      <c r="E533" s="19"/>
      <c r="F533" s="5"/>
      <c r="H533" s="19"/>
      <c r="O533" s="5"/>
      <c r="Q533" s="5"/>
      <c r="R533" s="9"/>
    </row>
    <row r="534">
      <c r="A534" s="44"/>
      <c r="C534" s="5"/>
      <c r="E534" s="19"/>
      <c r="F534" s="5"/>
      <c r="H534" s="19"/>
      <c r="O534" s="5"/>
      <c r="Q534" s="5"/>
      <c r="R534" s="9"/>
    </row>
    <row r="535">
      <c r="A535" s="44"/>
      <c r="C535" s="5"/>
      <c r="E535" s="19"/>
      <c r="F535" s="5"/>
      <c r="H535" s="19"/>
      <c r="O535" s="5"/>
      <c r="Q535" s="5"/>
      <c r="R535" s="9"/>
    </row>
    <row r="536">
      <c r="A536" s="44"/>
      <c r="C536" s="5"/>
      <c r="E536" s="19"/>
      <c r="F536" s="5"/>
      <c r="H536" s="19"/>
      <c r="O536" s="5"/>
      <c r="Q536" s="5"/>
      <c r="R536" s="9"/>
    </row>
    <row r="537">
      <c r="A537" s="44"/>
      <c r="C537" s="5"/>
      <c r="E537" s="19"/>
      <c r="F537" s="5"/>
      <c r="H537" s="19"/>
      <c r="O537" s="5"/>
      <c r="Q537" s="5"/>
      <c r="R537" s="9"/>
    </row>
    <row r="538">
      <c r="A538" s="44"/>
      <c r="C538" s="5"/>
      <c r="E538" s="19"/>
      <c r="F538" s="5"/>
      <c r="H538" s="19"/>
      <c r="O538" s="5"/>
      <c r="Q538" s="5"/>
      <c r="R538" s="9"/>
    </row>
    <row r="539">
      <c r="A539" s="44"/>
      <c r="C539" s="5"/>
      <c r="E539" s="19"/>
      <c r="F539" s="5"/>
      <c r="H539" s="19"/>
      <c r="O539" s="5"/>
      <c r="Q539" s="5"/>
      <c r="R539" s="9"/>
    </row>
    <row r="540">
      <c r="A540" s="44"/>
      <c r="C540" s="5"/>
      <c r="E540" s="19"/>
      <c r="F540" s="5"/>
      <c r="H540" s="19"/>
      <c r="O540" s="5"/>
      <c r="Q540" s="5"/>
      <c r="R540" s="9"/>
    </row>
    <row r="541">
      <c r="A541" s="44"/>
      <c r="C541" s="5"/>
      <c r="E541" s="19"/>
      <c r="F541" s="5"/>
      <c r="H541" s="19"/>
      <c r="O541" s="5"/>
      <c r="Q541" s="5"/>
      <c r="R541" s="9"/>
    </row>
    <row r="542">
      <c r="A542" s="44"/>
      <c r="C542" s="5"/>
      <c r="E542" s="19"/>
      <c r="F542" s="5"/>
      <c r="H542" s="19"/>
      <c r="O542" s="5"/>
      <c r="Q542" s="5"/>
      <c r="R542" s="9"/>
    </row>
    <row r="543">
      <c r="A543" s="44"/>
      <c r="C543" s="5"/>
      <c r="E543" s="19"/>
      <c r="F543" s="5"/>
      <c r="H543" s="19"/>
      <c r="O543" s="5"/>
      <c r="Q543" s="5"/>
      <c r="R543" s="9"/>
    </row>
    <row r="544">
      <c r="A544" s="44"/>
      <c r="C544" s="5"/>
      <c r="E544" s="19"/>
      <c r="F544" s="5"/>
      <c r="H544" s="19"/>
      <c r="O544" s="5"/>
      <c r="Q544" s="5"/>
      <c r="R544" s="9"/>
    </row>
    <row r="545">
      <c r="A545" s="44"/>
      <c r="C545" s="5"/>
      <c r="E545" s="19"/>
      <c r="F545" s="5"/>
      <c r="H545" s="19"/>
      <c r="O545" s="5"/>
      <c r="Q545" s="5"/>
      <c r="R545" s="9"/>
    </row>
    <row r="546">
      <c r="A546" s="44"/>
      <c r="C546" s="5"/>
      <c r="E546" s="19"/>
      <c r="F546" s="5"/>
      <c r="H546" s="19"/>
      <c r="O546" s="5"/>
      <c r="Q546" s="5"/>
      <c r="R546" s="9"/>
    </row>
    <row r="547">
      <c r="A547" s="44"/>
      <c r="C547" s="5"/>
      <c r="E547" s="19"/>
      <c r="F547" s="5"/>
      <c r="H547" s="19"/>
      <c r="O547" s="5"/>
      <c r="Q547" s="5"/>
      <c r="R547" s="9"/>
    </row>
    <row r="548">
      <c r="A548" s="44"/>
      <c r="C548" s="5"/>
      <c r="E548" s="19"/>
      <c r="F548" s="5"/>
      <c r="H548" s="19"/>
      <c r="O548" s="5"/>
      <c r="Q548" s="5"/>
      <c r="R548" s="9"/>
    </row>
    <row r="549">
      <c r="A549" s="44"/>
      <c r="C549" s="5"/>
      <c r="E549" s="19"/>
      <c r="F549" s="5"/>
      <c r="H549" s="19"/>
      <c r="O549" s="5"/>
      <c r="Q549" s="5"/>
      <c r="R549" s="9"/>
    </row>
    <row r="550">
      <c r="A550" s="44"/>
      <c r="C550" s="5"/>
      <c r="E550" s="19"/>
      <c r="F550" s="5"/>
      <c r="H550" s="19"/>
      <c r="O550" s="5"/>
      <c r="Q550" s="5"/>
      <c r="R550" s="9"/>
    </row>
    <row r="551">
      <c r="A551" s="44"/>
      <c r="C551" s="5"/>
      <c r="E551" s="19"/>
      <c r="F551" s="5"/>
      <c r="H551" s="19"/>
      <c r="O551" s="5"/>
      <c r="Q551" s="5"/>
      <c r="R551" s="9"/>
    </row>
    <row r="552">
      <c r="A552" s="44"/>
      <c r="C552" s="5"/>
      <c r="E552" s="19"/>
      <c r="F552" s="5"/>
      <c r="H552" s="19"/>
      <c r="O552" s="5"/>
      <c r="Q552" s="5"/>
      <c r="R552" s="9"/>
    </row>
    <row r="553">
      <c r="A553" s="44"/>
      <c r="C553" s="5"/>
      <c r="E553" s="19"/>
      <c r="F553" s="5"/>
      <c r="H553" s="19"/>
      <c r="O553" s="5"/>
      <c r="Q553" s="5"/>
      <c r="R553" s="9"/>
    </row>
    <row r="554">
      <c r="A554" s="44"/>
      <c r="C554" s="5"/>
      <c r="E554" s="19"/>
      <c r="F554" s="5"/>
      <c r="H554" s="19"/>
      <c r="O554" s="5"/>
      <c r="Q554" s="5"/>
      <c r="R554" s="9"/>
    </row>
    <row r="555">
      <c r="A555" s="44"/>
      <c r="C555" s="5"/>
      <c r="E555" s="19"/>
      <c r="F555" s="5"/>
      <c r="H555" s="19"/>
      <c r="O555" s="5"/>
      <c r="Q555" s="5"/>
      <c r="R555" s="9"/>
    </row>
    <row r="556">
      <c r="A556" s="44"/>
      <c r="C556" s="5"/>
      <c r="E556" s="19"/>
      <c r="F556" s="5"/>
      <c r="H556" s="19"/>
      <c r="O556" s="5"/>
      <c r="Q556" s="5"/>
      <c r="R556" s="9"/>
    </row>
    <row r="557">
      <c r="A557" s="44"/>
      <c r="C557" s="5"/>
      <c r="E557" s="19"/>
      <c r="F557" s="5"/>
      <c r="H557" s="19"/>
      <c r="O557" s="5"/>
      <c r="Q557" s="5"/>
      <c r="R557" s="9"/>
    </row>
    <row r="558">
      <c r="A558" s="44"/>
      <c r="C558" s="5"/>
      <c r="E558" s="19"/>
      <c r="F558" s="5"/>
      <c r="H558" s="19"/>
      <c r="O558" s="5"/>
      <c r="Q558" s="5"/>
      <c r="R558" s="9"/>
    </row>
    <row r="559">
      <c r="A559" s="44"/>
      <c r="C559" s="5"/>
      <c r="E559" s="19"/>
      <c r="F559" s="5"/>
      <c r="H559" s="19"/>
      <c r="O559" s="5"/>
      <c r="Q559" s="5"/>
      <c r="R559" s="9"/>
    </row>
    <row r="560">
      <c r="A560" s="44"/>
      <c r="C560" s="5"/>
      <c r="E560" s="19"/>
      <c r="F560" s="5"/>
      <c r="H560" s="19"/>
      <c r="O560" s="5"/>
      <c r="Q560" s="5"/>
      <c r="R560" s="9"/>
    </row>
    <row r="561">
      <c r="A561" s="44"/>
      <c r="C561" s="5"/>
      <c r="E561" s="19"/>
      <c r="F561" s="5"/>
      <c r="H561" s="19"/>
      <c r="O561" s="5"/>
      <c r="Q561" s="5"/>
      <c r="R561" s="9"/>
    </row>
    <row r="562">
      <c r="A562" s="44"/>
      <c r="C562" s="5"/>
      <c r="E562" s="19"/>
      <c r="F562" s="5"/>
      <c r="H562" s="19"/>
      <c r="O562" s="5"/>
      <c r="Q562" s="5"/>
      <c r="R562" s="9"/>
    </row>
    <row r="563">
      <c r="A563" s="44"/>
      <c r="C563" s="5"/>
      <c r="E563" s="19"/>
      <c r="F563" s="5"/>
      <c r="H563" s="19"/>
      <c r="O563" s="5"/>
      <c r="Q563" s="5"/>
      <c r="R563" s="9"/>
    </row>
    <row r="564">
      <c r="A564" s="44"/>
      <c r="C564" s="5"/>
      <c r="E564" s="19"/>
      <c r="F564" s="5"/>
      <c r="H564" s="19"/>
      <c r="O564" s="5"/>
      <c r="Q564" s="5"/>
      <c r="R564" s="9"/>
    </row>
    <row r="565">
      <c r="A565" s="44"/>
      <c r="C565" s="5"/>
      <c r="E565" s="19"/>
      <c r="F565" s="5"/>
      <c r="H565" s="19"/>
      <c r="O565" s="5"/>
      <c r="Q565" s="5"/>
      <c r="R565" s="9"/>
    </row>
    <row r="566">
      <c r="A566" s="44"/>
      <c r="C566" s="5"/>
      <c r="E566" s="19"/>
      <c r="F566" s="5"/>
      <c r="H566" s="19"/>
      <c r="O566" s="5"/>
      <c r="Q566" s="5"/>
      <c r="R566" s="9"/>
    </row>
    <row r="567">
      <c r="A567" s="44"/>
      <c r="C567" s="5"/>
      <c r="E567" s="19"/>
      <c r="F567" s="5"/>
      <c r="H567" s="19"/>
      <c r="O567" s="5"/>
      <c r="Q567" s="5"/>
      <c r="R567" s="9"/>
    </row>
    <row r="568">
      <c r="A568" s="44"/>
      <c r="C568" s="5"/>
      <c r="E568" s="19"/>
      <c r="F568" s="5"/>
      <c r="H568" s="19"/>
      <c r="O568" s="5"/>
      <c r="Q568" s="5"/>
      <c r="R568" s="9"/>
    </row>
    <row r="569">
      <c r="A569" s="44"/>
      <c r="C569" s="5"/>
      <c r="E569" s="19"/>
      <c r="F569" s="5"/>
      <c r="H569" s="19"/>
      <c r="O569" s="5"/>
      <c r="Q569" s="5"/>
      <c r="R569" s="9"/>
    </row>
    <row r="570">
      <c r="A570" s="44"/>
      <c r="C570" s="5"/>
      <c r="E570" s="19"/>
      <c r="F570" s="5"/>
      <c r="H570" s="19"/>
      <c r="O570" s="5"/>
      <c r="Q570" s="5"/>
      <c r="R570" s="9"/>
    </row>
    <row r="571">
      <c r="A571" s="44"/>
      <c r="C571" s="5"/>
      <c r="E571" s="19"/>
      <c r="F571" s="5"/>
      <c r="H571" s="19"/>
      <c r="O571" s="5"/>
      <c r="Q571" s="5"/>
      <c r="R571" s="9"/>
    </row>
    <row r="572">
      <c r="A572" s="44"/>
      <c r="C572" s="5"/>
      <c r="E572" s="19"/>
      <c r="F572" s="5"/>
      <c r="H572" s="19"/>
      <c r="O572" s="5"/>
      <c r="Q572" s="5"/>
      <c r="R572" s="9"/>
    </row>
    <row r="573">
      <c r="A573" s="44"/>
      <c r="C573" s="5"/>
      <c r="E573" s="19"/>
      <c r="F573" s="5"/>
      <c r="H573" s="19"/>
      <c r="O573" s="5"/>
      <c r="Q573" s="5"/>
      <c r="R573" s="9"/>
    </row>
    <row r="574">
      <c r="A574" s="44"/>
      <c r="C574" s="5"/>
      <c r="E574" s="19"/>
      <c r="F574" s="5"/>
      <c r="H574" s="19"/>
      <c r="O574" s="5"/>
      <c r="Q574" s="5"/>
      <c r="R574" s="9"/>
    </row>
    <row r="575">
      <c r="A575" s="44"/>
      <c r="C575" s="5"/>
      <c r="E575" s="19"/>
      <c r="F575" s="5"/>
      <c r="H575" s="19"/>
      <c r="O575" s="5"/>
      <c r="Q575" s="5"/>
      <c r="R575" s="9"/>
    </row>
    <row r="576">
      <c r="A576" s="44"/>
      <c r="C576" s="5"/>
      <c r="E576" s="19"/>
      <c r="F576" s="5"/>
      <c r="H576" s="19"/>
      <c r="O576" s="5"/>
      <c r="Q576" s="5"/>
      <c r="R576" s="9"/>
    </row>
    <row r="577">
      <c r="A577" s="44"/>
      <c r="C577" s="5"/>
      <c r="E577" s="19"/>
      <c r="F577" s="5"/>
      <c r="H577" s="19"/>
      <c r="O577" s="5"/>
      <c r="Q577" s="5"/>
      <c r="R577" s="9"/>
    </row>
    <row r="578">
      <c r="A578" s="44"/>
      <c r="C578" s="5"/>
      <c r="E578" s="19"/>
      <c r="F578" s="5"/>
      <c r="H578" s="19"/>
      <c r="O578" s="5"/>
      <c r="Q578" s="5"/>
      <c r="R578" s="9"/>
    </row>
    <row r="579">
      <c r="A579" s="44"/>
      <c r="C579" s="5"/>
      <c r="E579" s="19"/>
      <c r="F579" s="5"/>
      <c r="H579" s="19"/>
      <c r="O579" s="5"/>
      <c r="Q579" s="5"/>
      <c r="R579" s="9"/>
    </row>
    <row r="580">
      <c r="A580" s="44"/>
      <c r="C580" s="5"/>
      <c r="E580" s="19"/>
      <c r="F580" s="5"/>
      <c r="H580" s="19"/>
      <c r="O580" s="5"/>
      <c r="Q580" s="5"/>
      <c r="R580" s="9"/>
    </row>
    <row r="581">
      <c r="A581" s="44"/>
      <c r="C581" s="5"/>
      <c r="E581" s="19"/>
      <c r="F581" s="5"/>
      <c r="H581" s="19"/>
      <c r="O581" s="5"/>
      <c r="Q581" s="5"/>
      <c r="R581" s="9"/>
    </row>
    <row r="582">
      <c r="A582" s="44"/>
      <c r="C582" s="5"/>
      <c r="E582" s="19"/>
      <c r="F582" s="5"/>
      <c r="H582" s="19"/>
      <c r="O582" s="5"/>
      <c r="Q582" s="5"/>
      <c r="R582" s="9"/>
    </row>
    <row r="583">
      <c r="A583" s="44"/>
      <c r="C583" s="5"/>
      <c r="E583" s="19"/>
      <c r="F583" s="5"/>
      <c r="H583" s="19"/>
      <c r="O583" s="5"/>
      <c r="Q583" s="5"/>
      <c r="R583" s="9"/>
    </row>
    <row r="584">
      <c r="A584" s="44"/>
      <c r="C584" s="5"/>
      <c r="E584" s="19"/>
      <c r="F584" s="5"/>
      <c r="H584" s="19"/>
      <c r="O584" s="5"/>
      <c r="Q584" s="5"/>
      <c r="R584" s="9"/>
    </row>
    <row r="585">
      <c r="A585" s="44"/>
      <c r="C585" s="5"/>
      <c r="E585" s="19"/>
      <c r="F585" s="5"/>
      <c r="H585" s="19"/>
      <c r="O585" s="5"/>
      <c r="Q585" s="5"/>
      <c r="R585" s="9"/>
    </row>
    <row r="586">
      <c r="A586" s="44"/>
      <c r="C586" s="5"/>
      <c r="E586" s="19"/>
      <c r="F586" s="5"/>
      <c r="H586" s="19"/>
      <c r="O586" s="5"/>
      <c r="Q586" s="5"/>
      <c r="R586" s="9"/>
    </row>
    <row r="587">
      <c r="A587" s="44"/>
      <c r="C587" s="5"/>
      <c r="E587" s="19"/>
      <c r="F587" s="5"/>
      <c r="H587" s="19"/>
      <c r="O587" s="5"/>
      <c r="Q587" s="5"/>
      <c r="R587" s="9"/>
    </row>
    <row r="588">
      <c r="A588" s="44"/>
      <c r="C588" s="5"/>
      <c r="E588" s="19"/>
      <c r="F588" s="5"/>
      <c r="H588" s="19"/>
      <c r="O588" s="5"/>
      <c r="Q588" s="5"/>
      <c r="R588" s="9"/>
    </row>
    <row r="589">
      <c r="A589" s="44"/>
      <c r="C589" s="5"/>
      <c r="E589" s="19"/>
      <c r="F589" s="5"/>
      <c r="H589" s="19"/>
      <c r="O589" s="5"/>
      <c r="Q589" s="5"/>
      <c r="R589" s="9"/>
    </row>
    <row r="590">
      <c r="A590" s="44"/>
      <c r="C590" s="5"/>
      <c r="E590" s="19"/>
      <c r="F590" s="5"/>
      <c r="H590" s="19"/>
      <c r="O590" s="5"/>
      <c r="Q590" s="5"/>
      <c r="R590" s="9"/>
    </row>
    <row r="591">
      <c r="A591" s="44"/>
      <c r="C591" s="5"/>
      <c r="E591" s="19"/>
      <c r="F591" s="5"/>
      <c r="H591" s="19"/>
      <c r="O591" s="5"/>
      <c r="Q591" s="5"/>
      <c r="R591" s="9"/>
    </row>
    <row r="592">
      <c r="A592" s="44"/>
      <c r="C592" s="5"/>
      <c r="E592" s="19"/>
      <c r="F592" s="5"/>
      <c r="H592" s="19"/>
      <c r="O592" s="5"/>
      <c r="Q592" s="5"/>
      <c r="R592" s="9"/>
    </row>
    <row r="593">
      <c r="A593" s="44"/>
      <c r="C593" s="5"/>
      <c r="E593" s="19"/>
      <c r="F593" s="5"/>
      <c r="H593" s="19"/>
      <c r="O593" s="5"/>
      <c r="Q593" s="5"/>
      <c r="R593" s="9"/>
    </row>
    <row r="594">
      <c r="A594" s="44"/>
      <c r="C594" s="5"/>
      <c r="E594" s="19"/>
      <c r="F594" s="5"/>
      <c r="H594" s="19"/>
      <c r="O594" s="5"/>
      <c r="Q594" s="5"/>
      <c r="R594" s="9"/>
    </row>
    <row r="595">
      <c r="A595" s="44"/>
      <c r="C595" s="5"/>
      <c r="E595" s="19"/>
      <c r="F595" s="5"/>
      <c r="H595" s="19"/>
      <c r="O595" s="5"/>
      <c r="Q595" s="5"/>
      <c r="R595" s="9"/>
    </row>
    <row r="596">
      <c r="A596" s="44"/>
      <c r="C596" s="5"/>
      <c r="E596" s="19"/>
      <c r="F596" s="5"/>
      <c r="H596" s="19"/>
      <c r="O596" s="5"/>
      <c r="Q596" s="5"/>
      <c r="R596" s="9"/>
    </row>
    <row r="597">
      <c r="A597" s="44"/>
      <c r="C597" s="5"/>
      <c r="E597" s="19"/>
      <c r="F597" s="5"/>
      <c r="H597" s="19"/>
      <c r="O597" s="5"/>
      <c r="Q597" s="5"/>
      <c r="R597" s="9"/>
    </row>
    <row r="598">
      <c r="A598" s="44"/>
      <c r="C598" s="5"/>
      <c r="E598" s="19"/>
      <c r="F598" s="5"/>
      <c r="H598" s="19"/>
      <c r="O598" s="5"/>
      <c r="Q598" s="5"/>
      <c r="R598" s="9"/>
    </row>
    <row r="599">
      <c r="A599" s="44"/>
      <c r="C599" s="5"/>
      <c r="E599" s="19"/>
      <c r="F599" s="5"/>
      <c r="H599" s="19"/>
      <c r="O599" s="5"/>
      <c r="Q599" s="5"/>
      <c r="R599" s="9"/>
    </row>
    <row r="600">
      <c r="A600" s="44"/>
      <c r="C600" s="5"/>
      <c r="E600" s="19"/>
      <c r="F600" s="5"/>
      <c r="H600" s="19"/>
      <c r="O600" s="5"/>
      <c r="Q600" s="5"/>
      <c r="R600" s="9"/>
    </row>
    <row r="601">
      <c r="A601" s="44"/>
      <c r="C601" s="5"/>
      <c r="E601" s="19"/>
      <c r="F601" s="5"/>
      <c r="H601" s="19"/>
      <c r="O601" s="5"/>
      <c r="Q601" s="5"/>
      <c r="R601" s="9"/>
    </row>
    <row r="602">
      <c r="A602" s="44"/>
      <c r="C602" s="5"/>
      <c r="E602" s="19"/>
      <c r="F602" s="5"/>
      <c r="H602" s="19"/>
      <c r="O602" s="5"/>
      <c r="Q602" s="5"/>
      <c r="R602" s="9"/>
    </row>
    <row r="603">
      <c r="A603" s="44"/>
      <c r="C603" s="5"/>
      <c r="E603" s="19"/>
      <c r="F603" s="5"/>
      <c r="H603" s="19"/>
      <c r="O603" s="5"/>
      <c r="Q603" s="5"/>
      <c r="R603" s="9"/>
    </row>
    <row r="604">
      <c r="A604" s="44"/>
      <c r="C604" s="5"/>
      <c r="E604" s="19"/>
      <c r="F604" s="5"/>
      <c r="H604" s="19"/>
      <c r="O604" s="5"/>
      <c r="Q604" s="5"/>
      <c r="R604" s="9"/>
    </row>
    <row r="605">
      <c r="A605" s="44"/>
      <c r="C605" s="5"/>
      <c r="E605" s="19"/>
      <c r="F605" s="5"/>
      <c r="H605" s="19"/>
      <c r="O605" s="5"/>
      <c r="Q605" s="5"/>
      <c r="R605" s="9"/>
    </row>
    <row r="606">
      <c r="A606" s="44"/>
      <c r="C606" s="5"/>
      <c r="E606" s="19"/>
      <c r="F606" s="5"/>
      <c r="H606" s="19"/>
      <c r="O606" s="5"/>
      <c r="Q606" s="5"/>
      <c r="R606" s="9"/>
    </row>
    <row r="607">
      <c r="A607" s="44"/>
      <c r="C607" s="5"/>
      <c r="E607" s="19"/>
      <c r="F607" s="5"/>
      <c r="H607" s="19"/>
      <c r="O607" s="5"/>
      <c r="Q607" s="5"/>
      <c r="R607" s="9"/>
    </row>
    <row r="608">
      <c r="A608" s="44"/>
      <c r="C608" s="5"/>
      <c r="E608" s="19"/>
      <c r="F608" s="5"/>
      <c r="H608" s="19"/>
      <c r="O608" s="5"/>
      <c r="Q608" s="5"/>
      <c r="R608" s="9"/>
    </row>
    <row r="609">
      <c r="A609" s="44"/>
      <c r="C609" s="5"/>
      <c r="E609" s="19"/>
      <c r="F609" s="5"/>
      <c r="H609" s="19"/>
      <c r="O609" s="5"/>
      <c r="Q609" s="5"/>
      <c r="R609" s="9"/>
    </row>
    <row r="610">
      <c r="A610" s="44"/>
      <c r="C610" s="5"/>
      <c r="E610" s="19"/>
      <c r="F610" s="5"/>
      <c r="H610" s="19"/>
      <c r="O610" s="5"/>
      <c r="Q610" s="5"/>
      <c r="R610" s="9"/>
    </row>
    <row r="611">
      <c r="A611" s="44"/>
      <c r="C611" s="5"/>
      <c r="E611" s="19"/>
      <c r="F611" s="5"/>
      <c r="H611" s="19"/>
      <c r="O611" s="5"/>
      <c r="Q611" s="5"/>
      <c r="R611" s="9"/>
    </row>
    <row r="612">
      <c r="A612" s="44"/>
      <c r="C612" s="5"/>
      <c r="E612" s="19"/>
      <c r="F612" s="5"/>
      <c r="H612" s="19"/>
      <c r="O612" s="5"/>
      <c r="Q612" s="5"/>
      <c r="R612" s="9"/>
    </row>
    <row r="613">
      <c r="A613" s="44"/>
      <c r="C613" s="5"/>
      <c r="E613" s="19"/>
      <c r="F613" s="5"/>
      <c r="H613" s="19"/>
      <c r="O613" s="5"/>
      <c r="Q613" s="5"/>
      <c r="R613" s="9"/>
    </row>
    <row r="614">
      <c r="A614" s="44"/>
      <c r="C614" s="5"/>
      <c r="E614" s="19"/>
      <c r="F614" s="5"/>
      <c r="H614" s="19"/>
      <c r="O614" s="5"/>
      <c r="Q614" s="5"/>
      <c r="R614" s="9"/>
    </row>
    <row r="615">
      <c r="A615" s="44"/>
      <c r="C615" s="5"/>
      <c r="E615" s="19"/>
      <c r="F615" s="5"/>
      <c r="H615" s="19"/>
      <c r="O615" s="5"/>
      <c r="Q615" s="5"/>
      <c r="R615" s="9"/>
    </row>
    <row r="616">
      <c r="A616" s="44"/>
      <c r="C616" s="5"/>
      <c r="E616" s="19"/>
      <c r="F616" s="5"/>
      <c r="H616" s="19"/>
      <c r="O616" s="5"/>
      <c r="Q616" s="5"/>
      <c r="R616" s="9"/>
    </row>
    <row r="617">
      <c r="A617" s="44"/>
      <c r="C617" s="5"/>
      <c r="E617" s="19"/>
      <c r="F617" s="5"/>
      <c r="H617" s="19"/>
      <c r="O617" s="5"/>
      <c r="Q617" s="5"/>
      <c r="R617" s="9"/>
    </row>
    <row r="618">
      <c r="A618" s="44"/>
      <c r="C618" s="5"/>
      <c r="E618" s="19"/>
      <c r="F618" s="5"/>
      <c r="H618" s="19"/>
      <c r="O618" s="5"/>
      <c r="Q618" s="5"/>
      <c r="R618" s="9"/>
    </row>
    <row r="619">
      <c r="A619" s="44"/>
      <c r="C619" s="5"/>
      <c r="E619" s="19"/>
      <c r="F619" s="5"/>
      <c r="H619" s="19"/>
      <c r="O619" s="5"/>
      <c r="Q619" s="5"/>
      <c r="R619" s="9"/>
    </row>
    <row r="620">
      <c r="A620" s="44"/>
      <c r="C620" s="5"/>
      <c r="E620" s="19"/>
      <c r="F620" s="5"/>
      <c r="H620" s="19"/>
      <c r="O620" s="5"/>
      <c r="Q620" s="5"/>
      <c r="R620" s="9"/>
    </row>
    <row r="621">
      <c r="A621" s="44"/>
      <c r="C621" s="5"/>
      <c r="E621" s="19"/>
      <c r="F621" s="5"/>
      <c r="H621" s="19"/>
      <c r="O621" s="5"/>
      <c r="Q621" s="5"/>
      <c r="R621" s="9"/>
    </row>
    <row r="622">
      <c r="A622" s="44"/>
      <c r="C622" s="5"/>
      <c r="E622" s="19"/>
      <c r="F622" s="5"/>
      <c r="H622" s="19"/>
      <c r="O622" s="5"/>
      <c r="Q622" s="5"/>
      <c r="R622" s="9"/>
    </row>
    <row r="623">
      <c r="A623" s="44"/>
      <c r="C623" s="5"/>
      <c r="E623" s="19"/>
      <c r="F623" s="5"/>
      <c r="H623" s="19"/>
      <c r="O623" s="5"/>
      <c r="Q623" s="5"/>
      <c r="R623" s="9"/>
    </row>
    <row r="624">
      <c r="A624" s="44"/>
      <c r="C624" s="5"/>
      <c r="E624" s="19"/>
      <c r="F624" s="5"/>
      <c r="H624" s="19"/>
      <c r="O624" s="5"/>
      <c r="Q624" s="5"/>
      <c r="R624" s="9"/>
    </row>
    <row r="625">
      <c r="A625" s="44"/>
      <c r="C625" s="5"/>
      <c r="E625" s="19"/>
      <c r="F625" s="5"/>
      <c r="H625" s="19"/>
      <c r="O625" s="5"/>
      <c r="Q625" s="5"/>
      <c r="R625" s="9"/>
    </row>
    <row r="626">
      <c r="A626" s="44"/>
      <c r="C626" s="5"/>
      <c r="E626" s="19"/>
      <c r="F626" s="5"/>
      <c r="H626" s="19"/>
      <c r="O626" s="5"/>
      <c r="Q626" s="5"/>
      <c r="R626" s="9"/>
    </row>
    <row r="627">
      <c r="A627" s="44"/>
      <c r="C627" s="5"/>
      <c r="E627" s="19"/>
      <c r="F627" s="5"/>
      <c r="H627" s="19"/>
      <c r="O627" s="5"/>
      <c r="Q627" s="5"/>
      <c r="R627" s="9"/>
    </row>
    <row r="628">
      <c r="A628" s="44"/>
      <c r="C628" s="5"/>
      <c r="E628" s="19"/>
      <c r="F628" s="5"/>
      <c r="H628" s="19"/>
      <c r="O628" s="5"/>
      <c r="Q628" s="5"/>
      <c r="R628" s="9"/>
    </row>
    <row r="629">
      <c r="A629" s="44"/>
      <c r="C629" s="5"/>
      <c r="E629" s="19"/>
      <c r="F629" s="5"/>
      <c r="H629" s="19"/>
      <c r="O629" s="5"/>
      <c r="Q629" s="5"/>
      <c r="R629" s="9"/>
    </row>
    <row r="630">
      <c r="A630" s="44"/>
      <c r="C630" s="5"/>
      <c r="E630" s="19"/>
      <c r="F630" s="5"/>
      <c r="H630" s="19"/>
      <c r="O630" s="5"/>
      <c r="Q630" s="5"/>
      <c r="R630" s="9"/>
    </row>
    <row r="631">
      <c r="A631" s="44"/>
      <c r="C631" s="5"/>
      <c r="E631" s="19"/>
      <c r="F631" s="5"/>
      <c r="H631" s="19"/>
      <c r="O631" s="5"/>
      <c r="Q631" s="5"/>
      <c r="R631" s="9"/>
    </row>
    <row r="632">
      <c r="A632" s="44"/>
      <c r="C632" s="5"/>
      <c r="E632" s="19"/>
      <c r="F632" s="5"/>
      <c r="H632" s="19"/>
      <c r="O632" s="5"/>
      <c r="Q632" s="5"/>
      <c r="R632" s="9"/>
    </row>
    <row r="633">
      <c r="A633" s="44"/>
      <c r="C633" s="5"/>
      <c r="E633" s="19"/>
      <c r="F633" s="5"/>
      <c r="H633" s="19"/>
      <c r="O633" s="5"/>
      <c r="Q633" s="5"/>
      <c r="R633" s="9"/>
    </row>
    <row r="634">
      <c r="A634" s="44"/>
      <c r="C634" s="5"/>
      <c r="E634" s="19"/>
      <c r="F634" s="5"/>
      <c r="H634" s="19"/>
      <c r="O634" s="5"/>
      <c r="Q634" s="5"/>
      <c r="R634" s="9"/>
    </row>
    <row r="635">
      <c r="A635" s="44"/>
      <c r="C635" s="5"/>
      <c r="E635" s="19"/>
      <c r="F635" s="5"/>
      <c r="H635" s="19"/>
      <c r="O635" s="5"/>
      <c r="Q635" s="5"/>
      <c r="R635" s="9"/>
    </row>
    <row r="636">
      <c r="A636" s="44"/>
      <c r="C636" s="5"/>
      <c r="E636" s="19"/>
      <c r="F636" s="5"/>
      <c r="H636" s="19"/>
      <c r="O636" s="5"/>
      <c r="Q636" s="5"/>
      <c r="R636" s="9"/>
    </row>
    <row r="637">
      <c r="A637" s="44"/>
      <c r="C637" s="5"/>
      <c r="E637" s="19"/>
      <c r="F637" s="5"/>
      <c r="H637" s="19"/>
      <c r="O637" s="5"/>
      <c r="Q637" s="5"/>
      <c r="R637" s="9"/>
    </row>
    <row r="638">
      <c r="A638" s="44"/>
      <c r="C638" s="5"/>
      <c r="E638" s="19"/>
      <c r="F638" s="5"/>
      <c r="H638" s="19"/>
      <c r="O638" s="5"/>
      <c r="Q638" s="5"/>
      <c r="R638" s="9"/>
    </row>
    <row r="639">
      <c r="A639" s="44"/>
      <c r="C639" s="5"/>
      <c r="E639" s="19"/>
      <c r="F639" s="5"/>
      <c r="H639" s="19"/>
      <c r="O639" s="5"/>
      <c r="Q639" s="5"/>
      <c r="R639" s="9"/>
    </row>
    <row r="640">
      <c r="A640" s="44"/>
      <c r="C640" s="5"/>
      <c r="E640" s="19"/>
      <c r="F640" s="5"/>
      <c r="H640" s="19"/>
      <c r="O640" s="5"/>
      <c r="Q640" s="5"/>
      <c r="R640" s="9"/>
    </row>
    <row r="641">
      <c r="A641" s="44"/>
      <c r="C641" s="5"/>
      <c r="E641" s="19"/>
      <c r="F641" s="5"/>
      <c r="H641" s="19"/>
      <c r="O641" s="5"/>
      <c r="Q641" s="5"/>
      <c r="R641" s="9"/>
    </row>
    <row r="642">
      <c r="A642" s="44"/>
      <c r="C642" s="5"/>
      <c r="E642" s="19"/>
      <c r="F642" s="5"/>
      <c r="H642" s="19"/>
      <c r="O642" s="5"/>
      <c r="Q642" s="5"/>
      <c r="R642" s="9"/>
    </row>
    <row r="643">
      <c r="A643" s="44"/>
      <c r="C643" s="5"/>
      <c r="E643" s="19"/>
      <c r="F643" s="5"/>
      <c r="H643" s="19"/>
      <c r="O643" s="5"/>
      <c r="Q643" s="5"/>
      <c r="R643" s="9"/>
    </row>
    <row r="644">
      <c r="A644" s="44"/>
      <c r="C644" s="5"/>
      <c r="E644" s="19"/>
      <c r="F644" s="5"/>
      <c r="H644" s="19"/>
      <c r="O644" s="5"/>
      <c r="Q644" s="5"/>
      <c r="R644" s="9"/>
    </row>
    <row r="645">
      <c r="A645" s="44"/>
      <c r="C645" s="5"/>
      <c r="E645" s="19"/>
      <c r="F645" s="5"/>
      <c r="H645" s="19"/>
      <c r="O645" s="5"/>
      <c r="Q645" s="5"/>
      <c r="R645" s="9"/>
    </row>
    <row r="646">
      <c r="A646" s="44"/>
      <c r="C646" s="5"/>
      <c r="E646" s="19"/>
      <c r="F646" s="5"/>
      <c r="H646" s="19"/>
      <c r="O646" s="5"/>
      <c r="Q646" s="5"/>
      <c r="R646" s="9"/>
    </row>
    <row r="647">
      <c r="A647" s="44"/>
      <c r="C647" s="5"/>
      <c r="E647" s="19"/>
      <c r="F647" s="5"/>
      <c r="H647" s="19"/>
      <c r="O647" s="5"/>
      <c r="Q647" s="5"/>
      <c r="R647" s="9"/>
    </row>
    <row r="648">
      <c r="A648" s="44"/>
      <c r="C648" s="5"/>
      <c r="E648" s="19"/>
      <c r="F648" s="5"/>
      <c r="H648" s="19"/>
      <c r="O648" s="5"/>
      <c r="Q648" s="5"/>
      <c r="R648" s="9"/>
    </row>
    <row r="649">
      <c r="A649" s="44"/>
      <c r="C649" s="5"/>
      <c r="E649" s="19"/>
      <c r="F649" s="5"/>
      <c r="H649" s="19"/>
      <c r="O649" s="5"/>
      <c r="Q649" s="5"/>
      <c r="R649" s="9"/>
    </row>
    <row r="650">
      <c r="A650" s="44"/>
      <c r="C650" s="5"/>
      <c r="E650" s="19"/>
      <c r="F650" s="5"/>
      <c r="H650" s="19"/>
      <c r="O650" s="5"/>
      <c r="Q650" s="5"/>
      <c r="R650" s="9"/>
    </row>
    <row r="651">
      <c r="A651" s="44"/>
      <c r="C651" s="5"/>
      <c r="E651" s="19"/>
      <c r="F651" s="5"/>
      <c r="H651" s="19"/>
      <c r="O651" s="5"/>
      <c r="Q651" s="5"/>
      <c r="R651" s="9"/>
    </row>
    <row r="652">
      <c r="A652" s="44"/>
      <c r="C652" s="5"/>
      <c r="E652" s="19"/>
      <c r="F652" s="5"/>
      <c r="H652" s="19"/>
      <c r="O652" s="5"/>
      <c r="Q652" s="5"/>
      <c r="R652" s="9"/>
    </row>
    <row r="653">
      <c r="A653" s="44"/>
      <c r="C653" s="5"/>
      <c r="E653" s="19"/>
      <c r="F653" s="5"/>
      <c r="H653" s="19"/>
      <c r="O653" s="5"/>
      <c r="Q653" s="5"/>
      <c r="R653" s="9"/>
    </row>
    <row r="654">
      <c r="A654" s="44"/>
      <c r="C654" s="5"/>
      <c r="E654" s="19"/>
      <c r="F654" s="5"/>
      <c r="H654" s="19"/>
      <c r="O654" s="5"/>
      <c r="Q654" s="5"/>
      <c r="R654" s="9"/>
    </row>
    <row r="655">
      <c r="A655" s="44"/>
      <c r="C655" s="5"/>
      <c r="E655" s="19"/>
      <c r="F655" s="5"/>
      <c r="H655" s="19"/>
      <c r="O655" s="5"/>
      <c r="Q655" s="5"/>
      <c r="R655" s="9"/>
    </row>
    <row r="656">
      <c r="A656" s="44"/>
      <c r="C656" s="5"/>
      <c r="E656" s="19"/>
      <c r="F656" s="5"/>
      <c r="H656" s="19"/>
      <c r="O656" s="5"/>
      <c r="Q656" s="5"/>
      <c r="R656" s="9"/>
    </row>
    <row r="657">
      <c r="A657" s="44"/>
      <c r="C657" s="5"/>
      <c r="E657" s="19"/>
      <c r="F657" s="5"/>
      <c r="H657" s="19"/>
      <c r="O657" s="5"/>
      <c r="Q657" s="5"/>
      <c r="R657" s="9"/>
    </row>
    <row r="658">
      <c r="A658" s="44"/>
      <c r="C658" s="5"/>
      <c r="E658" s="19"/>
      <c r="F658" s="5"/>
      <c r="H658" s="19"/>
      <c r="O658" s="5"/>
      <c r="Q658" s="5"/>
      <c r="R658" s="9"/>
    </row>
    <row r="659">
      <c r="A659" s="44"/>
      <c r="C659" s="5"/>
      <c r="E659" s="19"/>
      <c r="F659" s="5"/>
      <c r="H659" s="19"/>
      <c r="O659" s="5"/>
      <c r="Q659" s="5"/>
      <c r="R659" s="9"/>
    </row>
    <row r="660">
      <c r="A660" s="44"/>
      <c r="C660" s="5"/>
      <c r="E660" s="19"/>
      <c r="F660" s="5"/>
      <c r="H660" s="19"/>
      <c r="O660" s="5"/>
      <c r="Q660" s="5"/>
      <c r="R660" s="9"/>
    </row>
    <row r="661">
      <c r="A661" s="44"/>
      <c r="C661" s="5"/>
      <c r="E661" s="19"/>
      <c r="F661" s="5"/>
      <c r="H661" s="19"/>
      <c r="O661" s="5"/>
      <c r="Q661" s="5"/>
      <c r="R661" s="9"/>
    </row>
    <row r="662">
      <c r="A662" s="44"/>
      <c r="C662" s="5"/>
      <c r="E662" s="19"/>
      <c r="F662" s="5"/>
      <c r="H662" s="19"/>
      <c r="O662" s="5"/>
      <c r="Q662" s="5"/>
      <c r="R662" s="9"/>
    </row>
    <row r="663">
      <c r="A663" s="44"/>
      <c r="C663" s="5"/>
      <c r="E663" s="19"/>
      <c r="F663" s="5"/>
      <c r="H663" s="19"/>
      <c r="O663" s="5"/>
      <c r="Q663" s="5"/>
      <c r="R663" s="9"/>
    </row>
    <row r="664">
      <c r="A664" s="44"/>
      <c r="C664" s="5"/>
      <c r="E664" s="19"/>
      <c r="F664" s="5"/>
      <c r="H664" s="19"/>
      <c r="O664" s="5"/>
      <c r="Q664" s="5"/>
      <c r="R664" s="9"/>
    </row>
    <row r="665">
      <c r="A665" s="44"/>
      <c r="C665" s="5"/>
      <c r="E665" s="19"/>
      <c r="F665" s="5"/>
      <c r="H665" s="19"/>
      <c r="O665" s="5"/>
      <c r="Q665" s="5"/>
      <c r="R665" s="9"/>
    </row>
    <row r="666">
      <c r="A666" s="44"/>
      <c r="C666" s="5"/>
      <c r="E666" s="19"/>
      <c r="F666" s="5"/>
      <c r="H666" s="19"/>
      <c r="O666" s="5"/>
      <c r="Q666" s="5"/>
      <c r="R666" s="9"/>
    </row>
    <row r="667">
      <c r="A667" s="44"/>
      <c r="C667" s="5"/>
      <c r="E667" s="19"/>
      <c r="F667" s="5"/>
      <c r="H667" s="19"/>
      <c r="O667" s="5"/>
      <c r="Q667" s="5"/>
      <c r="R667" s="9"/>
    </row>
    <row r="668">
      <c r="A668" s="44"/>
      <c r="C668" s="5"/>
      <c r="E668" s="19"/>
      <c r="F668" s="5"/>
      <c r="H668" s="19"/>
      <c r="O668" s="5"/>
      <c r="Q668" s="5"/>
      <c r="R668" s="9"/>
    </row>
    <row r="669">
      <c r="A669" s="44"/>
      <c r="C669" s="5"/>
      <c r="E669" s="19"/>
      <c r="F669" s="5"/>
      <c r="H669" s="19"/>
      <c r="O669" s="5"/>
      <c r="Q669" s="5"/>
      <c r="R669" s="9"/>
    </row>
    <row r="670">
      <c r="A670" s="44"/>
      <c r="C670" s="5"/>
      <c r="E670" s="19"/>
      <c r="F670" s="5"/>
      <c r="H670" s="19"/>
      <c r="O670" s="5"/>
      <c r="Q670" s="5"/>
      <c r="R670" s="9"/>
    </row>
    <row r="671">
      <c r="A671" s="44"/>
      <c r="C671" s="5"/>
      <c r="E671" s="19"/>
      <c r="F671" s="5"/>
      <c r="H671" s="19"/>
      <c r="O671" s="5"/>
      <c r="Q671" s="5"/>
      <c r="R671" s="9"/>
    </row>
    <row r="672">
      <c r="A672" s="44"/>
      <c r="C672" s="5"/>
      <c r="E672" s="19"/>
      <c r="F672" s="5"/>
      <c r="H672" s="19"/>
      <c r="O672" s="5"/>
      <c r="Q672" s="5"/>
      <c r="R672" s="9"/>
    </row>
    <row r="673">
      <c r="A673" s="44"/>
      <c r="C673" s="5"/>
      <c r="E673" s="19"/>
      <c r="F673" s="5"/>
      <c r="H673" s="19"/>
      <c r="O673" s="5"/>
      <c r="Q673" s="5"/>
      <c r="R673" s="9"/>
    </row>
    <row r="674">
      <c r="A674" s="44"/>
      <c r="C674" s="5"/>
      <c r="E674" s="19"/>
      <c r="F674" s="5"/>
      <c r="H674" s="19"/>
      <c r="O674" s="5"/>
      <c r="Q674" s="5"/>
      <c r="R674" s="9"/>
    </row>
    <row r="675">
      <c r="A675" s="44"/>
      <c r="C675" s="5"/>
      <c r="E675" s="19"/>
      <c r="F675" s="5"/>
      <c r="H675" s="19"/>
      <c r="O675" s="5"/>
      <c r="Q675" s="5"/>
      <c r="R675" s="9"/>
    </row>
    <row r="676">
      <c r="A676" s="44"/>
      <c r="C676" s="5"/>
      <c r="E676" s="19"/>
      <c r="F676" s="5"/>
      <c r="H676" s="19"/>
      <c r="O676" s="5"/>
      <c r="Q676" s="5"/>
      <c r="R676" s="9"/>
    </row>
    <row r="677">
      <c r="A677" s="44"/>
      <c r="C677" s="5"/>
      <c r="E677" s="19"/>
      <c r="F677" s="5"/>
      <c r="H677" s="19"/>
      <c r="O677" s="5"/>
      <c r="Q677" s="5"/>
      <c r="R677" s="9"/>
    </row>
    <row r="678">
      <c r="A678" s="44"/>
      <c r="C678" s="5"/>
      <c r="E678" s="19"/>
      <c r="F678" s="5"/>
      <c r="H678" s="19"/>
      <c r="O678" s="5"/>
      <c r="Q678" s="5"/>
      <c r="R678" s="9"/>
    </row>
    <row r="679">
      <c r="A679" s="44"/>
      <c r="C679" s="5"/>
      <c r="E679" s="19"/>
      <c r="F679" s="5"/>
      <c r="H679" s="19"/>
      <c r="O679" s="5"/>
      <c r="Q679" s="5"/>
      <c r="R679" s="9"/>
    </row>
    <row r="680">
      <c r="A680" s="44"/>
      <c r="C680" s="5"/>
      <c r="E680" s="19"/>
      <c r="F680" s="5"/>
      <c r="H680" s="19"/>
      <c r="O680" s="5"/>
      <c r="Q680" s="5"/>
      <c r="R680" s="9"/>
    </row>
    <row r="681">
      <c r="A681" s="44"/>
      <c r="C681" s="5"/>
      <c r="E681" s="19"/>
      <c r="F681" s="5"/>
      <c r="H681" s="19"/>
      <c r="O681" s="5"/>
      <c r="Q681" s="5"/>
      <c r="R681" s="9"/>
    </row>
    <row r="682">
      <c r="A682" s="44"/>
      <c r="C682" s="5"/>
      <c r="E682" s="19"/>
      <c r="F682" s="5"/>
      <c r="H682" s="19"/>
      <c r="O682" s="5"/>
      <c r="Q682" s="5"/>
      <c r="R682" s="9"/>
    </row>
    <row r="683">
      <c r="A683" s="44"/>
      <c r="C683" s="5"/>
      <c r="E683" s="19"/>
      <c r="F683" s="5"/>
      <c r="H683" s="19"/>
      <c r="O683" s="5"/>
      <c r="Q683" s="5"/>
      <c r="R683" s="9"/>
    </row>
    <row r="684">
      <c r="A684" s="44"/>
      <c r="C684" s="5"/>
      <c r="E684" s="19"/>
      <c r="F684" s="5"/>
      <c r="H684" s="19"/>
      <c r="O684" s="5"/>
      <c r="Q684" s="5"/>
      <c r="R684" s="9"/>
    </row>
    <row r="685">
      <c r="A685" s="44"/>
      <c r="C685" s="5"/>
      <c r="E685" s="19"/>
      <c r="F685" s="5"/>
      <c r="H685" s="19"/>
      <c r="O685" s="5"/>
      <c r="Q685" s="5"/>
      <c r="R685" s="9"/>
    </row>
    <row r="686">
      <c r="A686" s="44"/>
      <c r="C686" s="5"/>
      <c r="E686" s="19"/>
      <c r="F686" s="5"/>
      <c r="H686" s="19"/>
      <c r="O686" s="5"/>
      <c r="Q686" s="5"/>
      <c r="R686" s="9"/>
    </row>
    <row r="687">
      <c r="A687" s="44"/>
      <c r="C687" s="5"/>
      <c r="E687" s="19"/>
      <c r="F687" s="5"/>
      <c r="H687" s="19"/>
      <c r="O687" s="5"/>
      <c r="Q687" s="5"/>
      <c r="R687" s="9"/>
    </row>
    <row r="688">
      <c r="A688" s="44"/>
      <c r="C688" s="5"/>
      <c r="E688" s="19"/>
      <c r="F688" s="5"/>
      <c r="H688" s="19"/>
      <c r="O688" s="5"/>
      <c r="Q688" s="5"/>
      <c r="R688" s="9"/>
    </row>
    <row r="689">
      <c r="A689" s="44"/>
      <c r="C689" s="5"/>
      <c r="E689" s="19"/>
      <c r="F689" s="5"/>
      <c r="H689" s="19"/>
      <c r="O689" s="5"/>
      <c r="Q689" s="5"/>
      <c r="R689" s="9"/>
    </row>
    <row r="690">
      <c r="A690" s="44"/>
      <c r="C690" s="5"/>
      <c r="E690" s="19"/>
      <c r="F690" s="5"/>
      <c r="H690" s="19"/>
      <c r="O690" s="5"/>
      <c r="Q690" s="5"/>
      <c r="R690" s="9"/>
    </row>
    <row r="691">
      <c r="A691" s="44"/>
      <c r="C691" s="5"/>
      <c r="E691" s="19"/>
      <c r="F691" s="5"/>
      <c r="H691" s="19"/>
      <c r="O691" s="5"/>
      <c r="Q691" s="5"/>
      <c r="R691" s="9"/>
    </row>
    <row r="692">
      <c r="A692" s="44"/>
      <c r="C692" s="5"/>
      <c r="E692" s="19"/>
      <c r="F692" s="5"/>
      <c r="H692" s="19"/>
      <c r="O692" s="5"/>
      <c r="Q692" s="5"/>
      <c r="R692" s="9"/>
    </row>
    <row r="693">
      <c r="A693" s="44"/>
      <c r="C693" s="5"/>
      <c r="E693" s="19"/>
      <c r="F693" s="5"/>
      <c r="H693" s="19"/>
      <c r="O693" s="5"/>
      <c r="Q693" s="5"/>
      <c r="R693" s="9"/>
    </row>
    <row r="694">
      <c r="A694" s="44"/>
      <c r="C694" s="5"/>
      <c r="E694" s="19"/>
      <c r="F694" s="5"/>
      <c r="H694" s="19"/>
      <c r="O694" s="5"/>
      <c r="Q694" s="5"/>
      <c r="R694" s="9"/>
    </row>
    <row r="695">
      <c r="A695" s="44"/>
      <c r="C695" s="5"/>
      <c r="E695" s="19"/>
      <c r="F695" s="5"/>
      <c r="H695" s="19"/>
      <c r="O695" s="5"/>
      <c r="Q695" s="5"/>
      <c r="R695" s="9"/>
    </row>
    <row r="696">
      <c r="A696" s="44"/>
      <c r="C696" s="5"/>
      <c r="E696" s="19"/>
      <c r="F696" s="5"/>
      <c r="H696" s="19"/>
      <c r="O696" s="5"/>
      <c r="Q696" s="5"/>
      <c r="R696" s="9"/>
    </row>
    <row r="697">
      <c r="A697" s="44"/>
      <c r="C697" s="5"/>
      <c r="E697" s="19"/>
      <c r="F697" s="5"/>
      <c r="H697" s="19"/>
      <c r="O697" s="5"/>
      <c r="Q697" s="5"/>
      <c r="R697" s="9"/>
    </row>
    <row r="698">
      <c r="A698" s="44"/>
      <c r="C698" s="5"/>
      <c r="E698" s="19"/>
      <c r="F698" s="5"/>
      <c r="H698" s="19"/>
      <c r="O698" s="5"/>
      <c r="Q698" s="5"/>
      <c r="R698" s="9"/>
    </row>
    <row r="699">
      <c r="A699" s="44"/>
      <c r="C699" s="5"/>
      <c r="E699" s="19"/>
      <c r="F699" s="5"/>
      <c r="H699" s="19"/>
      <c r="O699" s="5"/>
      <c r="Q699" s="5"/>
      <c r="R699" s="9"/>
    </row>
    <row r="700">
      <c r="A700" s="44"/>
      <c r="C700" s="5"/>
      <c r="E700" s="19"/>
      <c r="F700" s="5"/>
      <c r="H700" s="19"/>
      <c r="O700" s="5"/>
      <c r="Q700" s="5"/>
      <c r="R700" s="9"/>
    </row>
    <row r="701">
      <c r="A701" s="44"/>
      <c r="C701" s="5"/>
      <c r="E701" s="19"/>
      <c r="F701" s="5"/>
      <c r="H701" s="19"/>
      <c r="O701" s="5"/>
      <c r="Q701" s="5"/>
      <c r="R701" s="9"/>
    </row>
    <row r="702">
      <c r="A702" s="44"/>
      <c r="C702" s="5"/>
      <c r="E702" s="19"/>
      <c r="F702" s="5"/>
      <c r="H702" s="19"/>
      <c r="O702" s="5"/>
      <c r="Q702" s="5"/>
      <c r="R702" s="9"/>
    </row>
    <row r="703">
      <c r="A703" s="44"/>
      <c r="C703" s="5"/>
      <c r="E703" s="19"/>
      <c r="F703" s="5"/>
      <c r="H703" s="19"/>
      <c r="O703" s="5"/>
      <c r="Q703" s="5"/>
      <c r="R703" s="9"/>
    </row>
    <row r="704">
      <c r="A704" s="44"/>
      <c r="C704" s="5"/>
      <c r="E704" s="19"/>
      <c r="F704" s="5"/>
      <c r="H704" s="19"/>
      <c r="O704" s="5"/>
      <c r="Q704" s="5"/>
      <c r="R704" s="9"/>
    </row>
    <row r="705">
      <c r="A705" s="44"/>
      <c r="C705" s="5"/>
      <c r="E705" s="19"/>
      <c r="F705" s="5"/>
      <c r="H705" s="19"/>
      <c r="O705" s="5"/>
      <c r="Q705" s="5"/>
      <c r="R705" s="9"/>
    </row>
    <row r="706">
      <c r="A706" s="44"/>
      <c r="C706" s="5"/>
      <c r="E706" s="19"/>
      <c r="F706" s="5"/>
      <c r="H706" s="19"/>
      <c r="O706" s="5"/>
      <c r="Q706" s="5"/>
      <c r="R706" s="9"/>
    </row>
    <row r="707">
      <c r="A707" s="44"/>
      <c r="C707" s="5"/>
      <c r="E707" s="19"/>
      <c r="F707" s="5"/>
      <c r="H707" s="19"/>
      <c r="O707" s="5"/>
      <c r="Q707" s="5"/>
      <c r="R707" s="9"/>
    </row>
    <row r="708">
      <c r="A708" s="44"/>
      <c r="C708" s="5"/>
      <c r="E708" s="19"/>
      <c r="F708" s="5"/>
      <c r="H708" s="19"/>
      <c r="O708" s="5"/>
      <c r="Q708" s="5"/>
      <c r="R708" s="9"/>
    </row>
    <row r="709">
      <c r="A709" s="44"/>
      <c r="C709" s="5"/>
      <c r="E709" s="19"/>
      <c r="F709" s="5"/>
      <c r="H709" s="19"/>
      <c r="O709" s="5"/>
      <c r="Q709" s="5"/>
      <c r="R709" s="9"/>
    </row>
    <row r="710">
      <c r="A710" s="44"/>
      <c r="C710" s="5"/>
      <c r="E710" s="19"/>
      <c r="F710" s="5"/>
      <c r="H710" s="19"/>
      <c r="O710" s="5"/>
      <c r="Q710" s="5"/>
      <c r="R710" s="9"/>
    </row>
    <row r="711">
      <c r="A711" s="44"/>
      <c r="C711" s="5"/>
      <c r="E711" s="19"/>
      <c r="F711" s="5"/>
      <c r="H711" s="19"/>
      <c r="O711" s="5"/>
      <c r="Q711" s="5"/>
      <c r="R711" s="9"/>
    </row>
    <row r="712">
      <c r="A712" s="44"/>
      <c r="C712" s="5"/>
      <c r="E712" s="19"/>
      <c r="F712" s="5"/>
      <c r="H712" s="19"/>
      <c r="O712" s="5"/>
      <c r="Q712" s="5"/>
      <c r="R712" s="9"/>
    </row>
    <row r="713">
      <c r="A713" s="44"/>
      <c r="C713" s="5"/>
      <c r="E713" s="19"/>
      <c r="F713" s="5"/>
      <c r="H713" s="19"/>
      <c r="O713" s="5"/>
      <c r="Q713" s="5"/>
      <c r="R713" s="9"/>
    </row>
    <row r="714">
      <c r="A714" s="44"/>
      <c r="C714" s="5"/>
      <c r="E714" s="19"/>
      <c r="F714" s="5"/>
      <c r="H714" s="19"/>
      <c r="O714" s="5"/>
      <c r="Q714" s="5"/>
      <c r="R714" s="9"/>
    </row>
    <row r="715">
      <c r="A715" s="44"/>
      <c r="C715" s="5"/>
      <c r="E715" s="19"/>
      <c r="F715" s="5"/>
      <c r="H715" s="19"/>
      <c r="O715" s="5"/>
      <c r="Q715" s="5"/>
      <c r="R715" s="9"/>
    </row>
    <row r="716">
      <c r="A716" s="44"/>
      <c r="C716" s="5"/>
      <c r="E716" s="19"/>
      <c r="F716" s="5"/>
      <c r="H716" s="19"/>
      <c r="O716" s="5"/>
      <c r="Q716" s="5"/>
      <c r="R716" s="9"/>
    </row>
    <row r="717">
      <c r="A717" s="44"/>
      <c r="C717" s="5"/>
      <c r="E717" s="19"/>
      <c r="F717" s="5"/>
      <c r="H717" s="19"/>
      <c r="O717" s="5"/>
      <c r="Q717" s="5"/>
      <c r="R717" s="9"/>
    </row>
    <row r="718">
      <c r="A718" s="44"/>
      <c r="C718" s="5"/>
      <c r="E718" s="19"/>
      <c r="F718" s="5"/>
      <c r="H718" s="19"/>
      <c r="O718" s="5"/>
      <c r="Q718" s="5"/>
      <c r="R718" s="9"/>
    </row>
    <row r="719">
      <c r="A719" s="44"/>
      <c r="C719" s="5"/>
      <c r="E719" s="19"/>
      <c r="F719" s="5"/>
      <c r="H719" s="19"/>
      <c r="O719" s="5"/>
      <c r="Q719" s="5"/>
      <c r="R719" s="9"/>
    </row>
    <row r="720">
      <c r="A720" s="44"/>
      <c r="C720" s="5"/>
      <c r="E720" s="19"/>
      <c r="F720" s="5"/>
      <c r="H720" s="19"/>
      <c r="O720" s="5"/>
      <c r="Q720" s="5"/>
      <c r="R720" s="9"/>
    </row>
    <row r="721">
      <c r="A721" s="44"/>
      <c r="C721" s="5"/>
      <c r="E721" s="19"/>
      <c r="F721" s="5"/>
      <c r="H721" s="19"/>
      <c r="O721" s="5"/>
      <c r="Q721" s="5"/>
      <c r="R721" s="9"/>
    </row>
    <row r="722">
      <c r="A722" s="44"/>
      <c r="C722" s="5"/>
      <c r="E722" s="19"/>
      <c r="F722" s="5"/>
      <c r="H722" s="19"/>
      <c r="O722" s="5"/>
      <c r="Q722" s="5"/>
      <c r="R722" s="9"/>
    </row>
    <row r="723">
      <c r="A723" s="44"/>
      <c r="C723" s="5"/>
      <c r="E723" s="19"/>
      <c r="F723" s="5"/>
      <c r="H723" s="19"/>
      <c r="O723" s="5"/>
      <c r="Q723" s="5"/>
      <c r="R723" s="9"/>
    </row>
    <row r="724">
      <c r="A724" s="44"/>
      <c r="C724" s="5"/>
      <c r="E724" s="19"/>
      <c r="F724" s="5"/>
      <c r="H724" s="19"/>
      <c r="O724" s="5"/>
      <c r="Q724" s="5"/>
      <c r="R724" s="9"/>
    </row>
    <row r="725">
      <c r="A725" s="44"/>
      <c r="C725" s="5"/>
      <c r="E725" s="19"/>
      <c r="F725" s="5"/>
      <c r="H725" s="19"/>
      <c r="O725" s="5"/>
      <c r="Q725" s="5"/>
      <c r="R725" s="9"/>
    </row>
    <row r="726">
      <c r="A726" s="44"/>
      <c r="C726" s="5"/>
      <c r="E726" s="19"/>
      <c r="F726" s="5"/>
      <c r="H726" s="19"/>
      <c r="O726" s="5"/>
      <c r="Q726" s="5"/>
      <c r="R726" s="9"/>
    </row>
    <row r="727">
      <c r="A727" s="44"/>
      <c r="C727" s="5"/>
      <c r="E727" s="19"/>
      <c r="F727" s="5"/>
      <c r="H727" s="19"/>
      <c r="O727" s="5"/>
      <c r="Q727" s="5"/>
      <c r="R727" s="9"/>
    </row>
    <row r="728">
      <c r="A728" s="44"/>
      <c r="C728" s="5"/>
      <c r="E728" s="19"/>
      <c r="F728" s="5"/>
      <c r="H728" s="19"/>
      <c r="O728" s="5"/>
      <c r="Q728" s="5"/>
      <c r="R728" s="9"/>
    </row>
    <row r="729">
      <c r="A729" s="44"/>
      <c r="C729" s="5"/>
      <c r="E729" s="19"/>
      <c r="F729" s="5"/>
      <c r="H729" s="19"/>
      <c r="O729" s="5"/>
      <c r="Q729" s="5"/>
      <c r="R729" s="9"/>
    </row>
    <row r="730">
      <c r="A730" s="44"/>
      <c r="C730" s="5"/>
      <c r="E730" s="19"/>
      <c r="F730" s="5"/>
      <c r="H730" s="19"/>
      <c r="O730" s="5"/>
      <c r="Q730" s="5"/>
      <c r="R730" s="9"/>
    </row>
    <row r="731">
      <c r="A731" s="44"/>
      <c r="C731" s="5"/>
      <c r="E731" s="19"/>
      <c r="F731" s="5"/>
      <c r="H731" s="19"/>
      <c r="O731" s="5"/>
      <c r="Q731" s="5"/>
      <c r="R731" s="9"/>
    </row>
    <row r="732">
      <c r="A732" s="44"/>
      <c r="C732" s="5"/>
      <c r="E732" s="19"/>
      <c r="F732" s="5"/>
      <c r="H732" s="19"/>
      <c r="O732" s="5"/>
      <c r="Q732" s="5"/>
      <c r="R732" s="9"/>
    </row>
    <row r="733">
      <c r="A733" s="44"/>
      <c r="C733" s="5"/>
      <c r="E733" s="19"/>
      <c r="F733" s="5"/>
      <c r="H733" s="19"/>
      <c r="O733" s="5"/>
      <c r="Q733" s="5"/>
      <c r="R733" s="9"/>
    </row>
    <row r="734">
      <c r="A734" s="44"/>
      <c r="C734" s="5"/>
      <c r="E734" s="19"/>
      <c r="F734" s="5"/>
      <c r="H734" s="19"/>
      <c r="O734" s="5"/>
      <c r="Q734" s="5"/>
      <c r="R734" s="9"/>
    </row>
    <row r="735">
      <c r="A735" s="44"/>
      <c r="C735" s="5"/>
      <c r="E735" s="19"/>
      <c r="F735" s="5"/>
      <c r="H735" s="19"/>
      <c r="O735" s="5"/>
      <c r="Q735" s="5"/>
      <c r="R735" s="9"/>
    </row>
    <row r="736">
      <c r="A736" s="44"/>
      <c r="C736" s="5"/>
      <c r="E736" s="19"/>
      <c r="F736" s="5"/>
      <c r="H736" s="19"/>
      <c r="O736" s="5"/>
      <c r="Q736" s="5"/>
      <c r="R736" s="9"/>
    </row>
    <row r="737">
      <c r="A737" s="44"/>
      <c r="C737" s="5"/>
      <c r="E737" s="19"/>
      <c r="F737" s="5"/>
      <c r="H737" s="19"/>
      <c r="O737" s="5"/>
      <c r="Q737" s="5"/>
      <c r="R737" s="9"/>
    </row>
    <row r="738">
      <c r="A738" s="44"/>
      <c r="C738" s="5"/>
      <c r="E738" s="19"/>
      <c r="F738" s="5"/>
      <c r="H738" s="19"/>
      <c r="O738" s="5"/>
      <c r="Q738" s="5"/>
      <c r="R738" s="9"/>
    </row>
    <row r="739">
      <c r="A739" s="44"/>
      <c r="C739" s="5"/>
      <c r="E739" s="19"/>
      <c r="F739" s="5"/>
      <c r="H739" s="19"/>
      <c r="O739" s="5"/>
      <c r="Q739" s="5"/>
      <c r="R739" s="9"/>
    </row>
    <row r="740">
      <c r="A740" s="44"/>
      <c r="C740" s="5"/>
      <c r="E740" s="19"/>
      <c r="F740" s="5"/>
      <c r="H740" s="19"/>
      <c r="O740" s="5"/>
      <c r="Q740" s="5"/>
      <c r="R740" s="9"/>
    </row>
    <row r="741">
      <c r="A741" s="44"/>
      <c r="C741" s="5"/>
      <c r="E741" s="19"/>
      <c r="F741" s="5"/>
      <c r="H741" s="19"/>
      <c r="O741" s="5"/>
      <c r="Q741" s="5"/>
      <c r="R741" s="9"/>
    </row>
    <row r="742">
      <c r="A742" s="44"/>
      <c r="C742" s="5"/>
      <c r="E742" s="19"/>
      <c r="F742" s="5"/>
      <c r="H742" s="19"/>
      <c r="O742" s="5"/>
      <c r="Q742" s="5"/>
      <c r="R742" s="9"/>
    </row>
    <row r="743">
      <c r="A743" s="44"/>
      <c r="C743" s="5"/>
      <c r="E743" s="19"/>
      <c r="F743" s="5"/>
      <c r="H743" s="19"/>
      <c r="O743" s="5"/>
      <c r="Q743" s="5"/>
      <c r="R743" s="9"/>
    </row>
    <row r="744">
      <c r="A744" s="44"/>
      <c r="C744" s="5"/>
      <c r="E744" s="19"/>
      <c r="F744" s="5"/>
      <c r="H744" s="19"/>
      <c r="O744" s="5"/>
      <c r="Q744" s="5"/>
      <c r="R744" s="9"/>
    </row>
    <row r="745">
      <c r="A745" s="44"/>
      <c r="C745" s="5"/>
      <c r="E745" s="19"/>
      <c r="F745" s="5"/>
      <c r="H745" s="19"/>
      <c r="O745" s="5"/>
      <c r="Q745" s="5"/>
      <c r="R745" s="9"/>
    </row>
    <row r="746">
      <c r="A746" s="44"/>
      <c r="C746" s="5"/>
      <c r="E746" s="19"/>
      <c r="F746" s="5"/>
      <c r="H746" s="19"/>
      <c r="O746" s="5"/>
      <c r="Q746" s="5"/>
      <c r="R746" s="9"/>
    </row>
    <row r="747">
      <c r="A747" s="44"/>
      <c r="C747" s="5"/>
      <c r="E747" s="19"/>
      <c r="F747" s="5"/>
      <c r="H747" s="19"/>
      <c r="O747" s="5"/>
      <c r="Q747" s="5"/>
      <c r="R747" s="9"/>
    </row>
    <row r="748">
      <c r="A748" s="44"/>
      <c r="C748" s="5"/>
      <c r="E748" s="19"/>
      <c r="F748" s="5"/>
      <c r="H748" s="19"/>
      <c r="O748" s="5"/>
      <c r="Q748" s="5"/>
      <c r="R748" s="9"/>
    </row>
    <row r="749">
      <c r="A749" s="44"/>
      <c r="C749" s="5"/>
      <c r="E749" s="19"/>
      <c r="F749" s="5"/>
      <c r="H749" s="19"/>
      <c r="O749" s="5"/>
      <c r="Q749" s="5"/>
      <c r="R749" s="9"/>
    </row>
    <row r="750">
      <c r="A750" s="44"/>
      <c r="C750" s="5"/>
      <c r="E750" s="19"/>
      <c r="F750" s="5"/>
      <c r="H750" s="19"/>
      <c r="O750" s="5"/>
      <c r="Q750" s="5"/>
      <c r="R750" s="9"/>
    </row>
    <row r="751">
      <c r="A751" s="44"/>
      <c r="C751" s="5"/>
      <c r="E751" s="19"/>
      <c r="F751" s="5"/>
      <c r="H751" s="19"/>
      <c r="O751" s="5"/>
      <c r="Q751" s="5"/>
      <c r="R751" s="9"/>
    </row>
    <row r="752">
      <c r="A752" s="44"/>
      <c r="C752" s="5"/>
      <c r="E752" s="19"/>
      <c r="F752" s="5"/>
      <c r="H752" s="19"/>
      <c r="O752" s="5"/>
      <c r="Q752" s="5"/>
      <c r="R752" s="9"/>
    </row>
    <row r="753">
      <c r="A753" s="44"/>
      <c r="C753" s="5"/>
      <c r="E753" s="19"/>
      <c r="F753" s="5"/>
      <c r="H753" s="19"/>
      <c r="O753" s="5"/>
      <c r="Q753" s="5"/>
      <c r="R753" s="9"/>
    </row>
    <row r="754">
      <c r="A754" s="44"/>
      <c r="C754" s="5"/>
      <c r="E754" s="19"/>
      <c r="F754" s="5"/>
      <c r="H754" s="19"/>
      <c r="O754" s="5"/>
      <c r="Q754" s="5"/>
      <c r="R754" s="9"/>
    </row>
    <row r="755">
      <c r="A755" s="44"/>
      <c r="C755" s="5"/>
      <c r="E755" s="19"/>
      <c r="F755" s="5"/>
      <c r="H755" s="19"/>
      <c r="O755" s="5"/>
      <c r="Q755" s="5"/>
      <c r="R755" s="9"/>
    </row>
    <row r="756">
      <c r="A756" s="44"/>
      <c r="C756" s="5"/>
      <c r="E756" s="19"/>
      <c r="F756" s="5"/>
      <c r="H756" s="19"/>
      <c r="O756" s="5"/>
      <c r="Q756" s="5"/>
      <c r="R756" s="9"/>
    </row>
    <row r="757">
      <c r="A757" s="44"/>
      <c r="C757" s="5"/>
      <c r="E757" s="19"/>
      <c r="F757" s="5"/>
      <c r="H757" s="19"/>
      <c r="O757" s="5"/>
      <c r="Q757" s="5"/>
      <c r="R757" s="9"/>
    </row>
    <row r="758">
      <c r="A758" s="44"/>
      <c r="C758" s="5"/>
      <c r="E758" s="19"/>
      <c r="F758" s="5"/>
      <c r="H758" s="19"/>
      <c r="O758" s="5"/>
      <c r="Q758" s="5"/>
      <c r="R758" s="9"/>
    </row>
    <row r="759">
      <c r="A759" s="44"/>
      <c r="C759" s="5"/>
      <c r="E759" s="19"/>
      <c r="F759" s="5"/>
      <c r="H759" s="19"/>
      <c r="O759" s="5"/>
      <c r="Q759" s="5"/>
      <c r="R759" s="9"/>
    </row>
    <row r="760">
      <c r="A760" s="44"/>
      <c r="C760" s="5"/>
      <c r="E760" s="19"/>
      <c r="F760" s="5"/>
      <c r="H760" s="19"/>
      <c r="O760" s="5"/>
      <c r="Q760" s="5"/>
      <c r="R760" s="9"/>
    </row>
    <row r="761">
      <c r="A761" s="44"/>
      <c r="C761" s="5"/>
      <c r="E761" s="19"/>
      <c r="F761" s="5"/>
      <c r="H761" s="19"/>
      <c r="O761" s="5"/>
      <c r="Q761" s="5"/>
      <c r="R761" s="9"/>
    </row>
    <row r="762">
      <c r="A762" s="44"/>
      <c r="C762" s="5"/>
      <c r="E762" s="19"/>
      <c r="F762" s="5"/>
      <c r="H762" s="19"/>
      <c r="O762" s="5"/>
      <c r="Q762" s="5"/>
      <c r="R762" s="9"/>
    </row>
    <row r="763">
      <c r="A763" s="44"/>
      <c r="C763" s="5"/>
      <c r="E763" s="19"/>
      <c r="F763" s="5"/>
      <c r="H763" s="19"/>
      <c r="O763" s="5"/>
      <c r="Q763" s="5"/>
      <c r="R763" s="9"/>
    </row>
    <row r="764">
      <c r="A764" s="44"/>
      <c r="C764" s="5"/>
      <c r="E764" s="19"/>
      <c r="F764" s="5"/>
      <c r="H764" s="19"/>
      <c r="O764" s="5"/>
      <c r="Q764" s="5"/>
      <c r="R764" s="9"/>
    </row>
    <row r="765">
      <c r="A765" s="44"/>
      <c r="C765" s="5"/>
      <c r="E765" s="19"/>
      <c r="F765" s="5"/>
      <c r="H765" s="19"/>
      <c r="O765" s="5"/>
      <c r="Q765" s="5"/>
      <c r="R765" s="9"/>
    </row>
    <row r="766">
      <c r="A766" s="44"/>
      <c r="C766" s="5"/>
      <c r="E766" s="19"/>
      <c r="F766" s="5"/>
      <c r="H766" s="19"/>
      <c r="O766" s="5"/>
      <c r="Q766" s="5"/>
      <c r="R766" s="9"/>
    </row>
    <row r="767">
      <c r="A767" s="44"/>
      <c r="C767" s="5"/>
      <c r="E767" s="19"/>
      <c r="F767" s="5"/>
      <c r="H767" s="19"/>
      <c r="O767" s="5"/>
      <c r="Q767" s="5"/>
      <c r="R767" s="9"/>
    </row>
    <row r="768">
      <c r="A768" s="44"/>
      <c r="C768" s="5"/>
      <c r="E768" s="19"/>
      <c r="F768" s="5"/>
      <c r="H768" s="19"/>
      <c r="O768" s="5"/>
      <c r="Q768" s="5"/>
      <c r="R768" s="9"/>
    </row>
    <row r="769">
      <c r="A769" s="44"/>
      <c r="C769" s="5"/>
      <c r="E769" s="19"/>
      <c r="F769" s="5"/>
      <c r="H769" s="19"/>
      <c r="O769" s="5"/>
      <c r="Q769" s="5"/>
      <c r="R769" s="9"/>
    </row>
    <row r="770">
      <c r="A770" s="44"/>
      <c r="C770" s="5"/>
      <c r="E770" s="19"/>
      <c r="F770" s="5"/>
      <c r="H770" s="19"/>
      <c r="O770" s="5"/>
      <c r="Q770" s="5"/>
      <c r="R770" s="9"/>
    </row>
    <row r="771">
      <c r="A771" s="44"/>
      <c r="C771" s="5"/>
      <c r="E771" s="19"/>
      <c r="F771" s="5"/>
      <c r="H771" s="19"/>
      <c r="O771" s="5"/>
      <c r="Q771" s="5"/>
      <c r="R771" s="9"/>
    </row>
    <row r="772">
      <c r="A772" s="44"/>
      <c r="C772" s="5"/>
      <c r="E772" s="19"/>
      <c r="F772" s="5"/>
      <c r="H772" s="19"/>
      <c r="O772" s="5"/>
      <c r="Q772" s="5"/>
      <c r="R772" s="9"/>
    </row>
    <row r="773">
      <c r="A773" s="44"/>
      <c r="C773" s="5"/>
      <c r="E773" s="19"/>
      <c r="F773" s="5"/>
      <c r="H773" s="19"/>
      <c r="O773" s="5"/>
      <c r="Q773" s="5"/>
      <c r="R773" s="9"/>
    </row>
    <row r="774">
      <c r="A774" s="44"/>
      <c r="C774" s="5"/>
      <c r="E774" s="19"/>
      <c r="F774" s="5"/>
      <c r="H774" s="19"/>
      <c r="O774" s="5"/>
      <c r="Q774" s="5"/>
      <c r="R774" s="9"/>
    </row>
    <row r="775">
      <c r="A775" s="44"/>
      <c r="C775" s="5"/>
      <c r="E775" s="19"/>
      <c r="F775" s="5"/>
      <c r="H775" s="19"/>
      <c r="O775" s="5"/>
      <c r="Q775" s="5"/>
      <c r="R775" s="9"/>
    </row>
    <row r="776">
      <c r="A776" s="44"/>
      <c r="C776" s="5"/>
      <c r="E776" s="19"/>
      <c r="F776" s="5"/>
      <c r="H776" s="19"/>
      <c r="O776" s="5"/>
      <c r="Q776" s="5"/>
      <c r="R776" s="9"/>
    </row>
    <row r="777">
      <c r="A777" s="44"/>
      <c r="C777" s="5"/>
      <c r="E777" s="19"/>
      <c r="F777" s="5"/>
      <c r="H777" s="19"/>
      <c r="O777" s="5"/>
      <c r="Q777" s="5"/>
      <c r="R777" s="9"/>
    </row>
    <row r="778">
      <c r="A778" s="44"/>
      <c r="C778" s="5"/>
      <c r="E778" s="19"/>
      <c r="F778" s="5"/>
      <c r="H778" s="19"/>
      <c r="O778" s="5"/>
      <c r="Q778" s="5"/>
      <c r="R778" s="9"/>
    </row>
    <row r="779">
      <c r="A779" s="44"/>
      <c r="C779" s="5"/>
      <c r="E779" s="19"/>
      <c r="F779" s="5"/>
      <c r="H779" s="19"/>
      <c r="O779" s="5"/>
      <c r="Q779" s="5"/>
      <c r="R779" s="9"/>
    </row>
    <row r="780">
      <c r="A780" s="44"/>
      <c r="C780" s="5"/>
      <c r="E780" s="19"/>
      <c r="F780" s="5"/>
      <c r="H780" s="19"/>
      <c r="O780" s="5"/>
      <c r="Q780" s="5"/>
      <c r="R780" s="9"/>
    </row>
    <row r="781">
      <c r="A781" s="44"/>
      <c r="C781" s="5"/>
      <c r="E781" s="19"/>
      <c r="F781" s="5"/>
      <c r="H781" s="19"/>
      <c r="O781" s="5"/>
      <c r="Q781" s="5"/>
      <c r="R781" s="9"/>
    </row>
    <row r="782">
      <c r="A782" s="44"/>
      <c r="C782" s="5"/>
      <c r="E782" s="19"/>
      <c r="F782" s="5"/>
      <c r="H782" s="19"/>
      <c r="O782" s="5"/>
      <c r="Q782" s="5"/>
      <c r="R782" s="9"/>
    </row>
    <row r="783">
      <c r="A783" s="44"/>
      <c r="C783" s="5"/>
      <c r="E783" s="19"/>
      <c r="F783" s="5"/>
      <c r="H783" s="19"/>
      <c r="O783" s="5"/>
      <c r="Q783" s="5"/>
      <c r="R783" s="9"/>
    </row>
    <row r="784">
      <c r="A784" s="44"/>
      <c r="C784" s="5"/>
      <c r="E784" s="19"/>
      <c r="F784" s="5"/>
      <c r="H784" s="19"/>
      <c r="O784" s="5"/>
      <c r="Q784" s="5"/>
      <c r="R784" s="9"/>
    </row>
    <row r="785">
      <c r="A785" s="44"/>
      <c r="C785" s="5"/>
      <c r="E785" s="19"/>
      <c r="F785" s="5"/>
      <c r="H785" s="19"/>
      <c r="O785" s="5"/>
      <c r="Q785" s="5"/>
      <c r="R785" s="9"/>
    </row>
    <row r="786">
      <c r="A786" s="44"/>
      <c r="C786" s="5"/>
      <c r="E786" s="19"/>
      <c r="F786" s="5"/>
      <c r="H786" s="19"/>
      <c r="O786" s="5"/>
      <c r="Q786" s="5"/>
      <c r="R786" s="9"/>
    </row>
    <row r="787">
      <c r="A787" s="44"/>
      <c r="C787" s="5"/>
      <c r="E787" s="19"/>
      <c r="F787" s="5"/>
      <c r="H787" s="19"/>
      <c r="O787" s="5"/>
      <c r="Q787" s="5"/>
      <c r="R787" s="9"/>
    </row>
    <row r="788">
      <c r="A788" s="44"/>
      <c r="C788" s="5"/>
      <c r="E788" s="19"/>
      <c r="F788" s="5"/>
      <c r="H788" s="19"/>
      <c r="O788" s="5"/>
      <c r="Q788" s="5"/>
      <c r="R788" s="9"/>
    </row>
    <row r="789">
      <c r="A789" s="44"/>
      <c r="C789" s="5"/>
      <c r="E789" s="19"/>
      <c r="F789" s="5"/>
      <c r="H789" s="19"/>
      <c r="O789" s="5"/>
      <c r="Q789" s="5"/>
      <c r="R789" s="9"/>
    </row>
    <row r="790">
      <c r="A790" s="44"/>
      <c r="C790" s="5"/>
      <c r="E790" s="19"/>
      <c r="F790" s="5"/>
      <c r="H790" s="19"/>
      <c r="O790" s="5"/>
      <c r="Q790" s="5"/>
      <c r="R790" s="9"/>
    </row>
    <row r="791">
      <c r="A791" s="44"/>
      <c r="C791" s="5"/>
      <c r="E791" s="19"/>
      <c r="F791" s="5"/>
      <c r="H791" s="19"/>
      <c r="O791" s="5"/>
      <c r="Q791" s="5"/>
      <c r="R791" s="9"/>
    </row>
    <row r="792">
      <c r="A792" s="44"/>
      <c r="C792" s="5"/>
      <c r="E792" s="19"/>
      <c r="F792" s="5"/>
      <c r="H792" s="19"/>
      <c r="O792" s="5"/>
      <c r="Q792" s="5"/>
      <c r="R792" s="9"/>
    </row>
    <row r="793">
      <c r="A793" s="44"/>
      <c r="C793" s="5"/>
      <c r="E793" s="19"/>
      <c r="F793" s="5"/>
      <c r="H793" s="19"/>
      <c r="O793" s="5"/>
      <c r="Q793" s="5"/>
      <c r="R793" s="9"/>
    </row>
    <row r="794">
      <c r="A794" s="44"/>
      <c r="C794" s="5"/>
      <c r="E794" s="19"/>
      <c r="F794" s="5"/>
      <c r="H794" s="19"/>
      <c r="O794" s="5"/>
      <c r="Q794" s="5"/>
      <c r="R794" s="9"/>
    </row>
    <row r="795">
      <c r="A795" s="44"/>
      <c r="C795" s="5"/>
      <c r="E795" s="19"/>
      <c r="F795" s="5"/>
      <c r="H795" s="19"/>
      <c r="O795" s="5"/>
      <c r="Q795" s="5"/>
      <c r="R795" s="9"/>
    </row>
    <row r="796">
      <c r="A796" s="44"/>
      <c r="C796" s="5"/>
      <c r="E796" s="19"/>
      <c r="F796" s="5"/>
      <c r="H796" s="19"/>
      <c r="O796" s="5"/>
      <c r="Q796" s="5"/>
      <c r="R796" s="9"/>
    </row>
    <row r="797">
      <c r="A797" s="44"/>
      <c r="C797" s="5"/>
      <c r="E797" s="19"/>
      <c r="F797" s="5"/>
      <c r="H797" s="19"/>
      <c r="O797" s="5"/>
      <c r="Q797" s="5"/>
      <c r="R797" s="9"/>
    </row>
    <row r="798">
      <c r="A798" s="44"/>
      <c r="C798" s="5"/>
      <c r="E798" s="19"/>
      <c r="F798" s="5"/>
      <c r="H798" s="19"/>
      <c r="O798" s="5"/>
      <c r="Q798" s="5"/>
      <c r="R798" s="9"/>
    </row>
    <row r="799">
      <c r="A799" s="44"/>
      <c r="C799" s="5"/>
      <c r="E799" s="19"/>
      <c r="F799" s="5"/>
      <c r="H799" s="19"/>
      <c r="O799" s="5"/>
      <c r="Q799" s="5"/>
      <c r="R799" s="9"/>
    </row>
    <row r="800">
      <c r="A800" s="44"/>
      <c r="C800" s="5"/>
      <c r="E800" s="19"/>
      <c r="F800" s="5"/>
      <c r="H800" s="19"/>
      <c r="O800" s="5"/>
      <c r="Q800" s="5"/>
      <c r="R800" s="9"/>
    </row>
    <row r="801">
      <c r="A801" s="44"/>
      <c r="C801" s="5"/>
      <c r="E801" s="19"/>
      <c r="F801" s="5"/>
      <c r="H801" s="19"/>
      <c r="O801" s="5"/>
      <c r="Q801" s="5"/>
      <c r="R801" s="9"/>
    </row>
    <row r="802">
      <c r="A802" s="44"/>
      <c r="C802" s="5"/>
      <c r="E802" s="19"/>
      <c r="F802" s="5"/>
      <c r="H802" s="19"/>
      <c r="O802" s="5"/>
      <c r="Q802" s="5"/>
      <c r="R802" s="9"/>
    </row>
    <row r="803">
      <c r="A803" s="44"/>
      <c r="C803" s="5"/>
      <c r="E803" s="19"/>
      <c r="F803" s="5"/>
      <c r="H803" s="19"/>
      <c r="O803" s="5"/>
      <c r="Q803" s="5"/>
      <c r="R803" s="9"/>
    </row>
    <row r="804">
      <c r="A804" s="44"/>
      <c r="C804" s="5"/>
      <c r="E804" s="19"/>
      <c r="F804" s="5"/>
      <c r="H804" s="19"/>
      <c r="O804" s="5"/>
      <c r="Q804" s="5"/>
      <c r="R804" s="9"/>
    </row>
    <row r="805">
      <c r="A805" s="44"/>
      <c r="C805" s="5"/>
      <c r="E805" s="19"/>
      <c r="F805" s="5"/>
      <c r="H805" s="19"/>
      <c r="O805" s="5"/>
      <c r="Q805" s="5"/>
      <c r="R805" s="9"/>
    </row>
    <row r="806">
      <c r="A806" s="44"/>
      <c r="C806" s="5"/>
      <c r="E806" s="19"/>
      <c r="F806" s="5"/>
      <c r="H806" s="19"/>
      <c r="O806" s="5"/>
      <c r="Q806" s="5"/>
      <c r="R806" s="9"/>
    </row>
    <row r="807">
      <c r="A807" s="44"/>
      <c r="C807" s="5"/>
      <c r="E807" s="19"/>
      <c r="F807" s="5"/>
      <c r="H807" s="19"/>
      <c r="O807" s="5"/>
      <c r="Q807" s="5"/>
      <c r="R807" s="9"/>
    </row>
    <row r="808">
      <c r="A808" s="44"/>
      <c r="C808" s="5"/>
      <c r="E808" s="19"/>
      <c r="F808" s="5"/>
      <c r="H808" s="19"/>
      <c r="O808" s="5"/>
      <c r="Q808" s="5"/>
      <c r="R808" s="9"/>
    </row>
    <row r="809">
      <c r="A809" s="44"/>
      <c r="C809" s="5"/>
      <c r="E809" s="19"/>
      <c r="F809" s="5"/>
      <c r="H809" s="19"/>
      <c r="O809" s="5"/>
      <c r="Q809" s="5"/>
      <c r="R809" s="9"/>
    </row>
    <row r="810">
      <c r="A810" s="44"/>
      <c r="C810" s="5"/>
      <c r="E810" s="19"/>
      <c r="F810" s="5"/>
      <c r="H810" s="19"/>
      <c r="O810" s="5"/>
      <c r="Q810" s="5"/>
      <c r="R810" s="9"/>
    </row>
    <row r="811">
      <c r="A811" s="44"/>
      <c r="C811" s="5"/>
      <c r="E811" s="19"/>
      <c r="F811" s="5"/>
      <c r="H811" s="19"/>
      <c r="O811" s="5"/>
      <c r="Q811" s="5"/>
      <c r="R811" s="9"/>
    </row>
    <row r="812">
      <c r="A812" s="44"/>
      <c r="C812" s="5"/>
      <c r="E812" s="19"/>
      <c r="F812" s="5"/>
      <c r="H812" s="19"/>
      <c r="O812" s="5"/>
      <c r="Q812" s="5"/>
      <c r="R812" s="9"/>
    </row>
    <row r="813">
      <c r="A813" s="44"/>
      <c r="C813" s="5"/>
      <c r="E813" s="19"/>
      <c r="F813" s="5"/>
      <c r="H813" s="19"/>
      <c r="O813" s="5"/>
      <c r="Q813" s="5"/>
      <c r="R813" s="9"/>
    </row>
    <row r="814">
      <c r="A814" s="44"/>
      <c r="C814" s="5"/>
      <c r="E814" s="19"/>
      <c r="F814" s="5"/>
      <c r="H814" s="19"/>
      <c r="O814" s="5"/>
      <c r="Q814" s="5"/>
      <c r="R814" s="9"/>
    </row>
    <row r="815">
      <c r="A815" s="44"/>
      <c r="C815" s="5"/>
      <c r="E815" s="19"/>
      <c r="F815" s="5"/>
      <c r="H815" s="19"/>
      <c r="O815" s="5"/>
      <c r="Q815" s="5"/>
      <c r="R815" s="9"/>
    </row>
    <row r="816">
      <c r="A816" s="44"/>
      <c r="C816" s="5"/>
      <c r="E816" s="19"/>
      <c r="F816" s="5"/>
      <c r="H816" s="19"/>
      <c r="O816" s="5"/>
      <c r="Q816" s="5"/>
      <c r="R816" s="9"/>
    </row>
    <row r="817">
      <c r="A817" s="44"/>
      <c r="C817" s="5"/>
      <c r="E817" s="19"/>
      <c r="F817" s="5"/>
      <c r="H817" s="19"/>
      <c r="O817" s="5"/>
      <c r="Q817" s="5"/>
      <c r="R817" s="9"/>
    </row>
    <row r="818">
      <c r="A818" s="44"/>
      <c r="C818" s="5"/>
      <c r="E818" s="19"/>
      <c r="F818" s="5"/>
      <c r="H818" s="19"/>
      <c r="O818" s="5"/>
      <c r="Q818" s="5"/>
      <c r="R818" s="9"/>
    </row>
    <row r="819">
      <c r="A819" s="44"/>
      <c r="C819" s="5"/>
      <c r="E819" s="19"/>
      <c r="F819" s="5"/>
      <c r="H819" s="19"/>
      <c r="O819" s="5"/>
      <c r="Q819" s="5"/>
      <c r="R819" s="9"/>
    </row>
    <row r="820">
      <c r="A820" s="44"/>
      <c r="C820" s="5"/>
      <c r="E820" s="19"/>
      <c r="F820" s="5"/>
      <c r="H820" s="19"/>
      <c r="O820" s="5"/>
      <c r="Q820" s="5"/>
      <c r="R820" s="9"/>
    </row>
    <row r="821">
      <c r="A821" s="44"/>
      <c r="C821" s="5"/>
      <c r="E821" s="19"/>
      <c r="F821" s="5"/>
      <c r="H821" s="19"/>
      <c r="O821" s="5"/>
      <c r="Q821" s="5"/>
      <c r="R821" s="9"/>
    </row>
    <row r="822">
      <c r="A822" s="44"/>
      <c r="C822" s="5"/>
      <c r="E822" s="19"/>
      <c r="F822" s="5"/>
      <c r="H822" s="19"/>
      <c r="O822" s="5"/>
      <c r="Q822" s="5"/>
      <c r="R822" s="9"/>
    </row>
    <row r="823">
      <c r="A823" s="44"/>
      <c r="C823" s="5"/>
      <c r="E823" s="19"/>
      <c r="F823" s="5"/>
      <c r="H823" s="19"/>
      <c r="O823" s="5"/>
      <c r="Q823" s="5"/>
      <c r="R823" s="9"/>
    </row>
    <row r="824">
      <c r="A824" s="44"/>
      <c r="C824" s="5"/>
      <c r="E824" s="19"/>
      <c r="F824" s="5"/>
      <c r="H824" s="19"/>
      <c r="O824" s="5"/>
      <c r="Q824" s="5"/>
      <c r="R824" s="9"/>
    </row>
    <row r="825">
      <c r="A825" s="44"/>
      <c r="C825" s="5"/>
      <c r="E825" s="19"/>
      <c r="F825" s="5"/>
      <c r="H825" s="19"/>
      <c r="O825" s="5"/>
      <c r="Q825" s="5"/>
      <c r="R825" s="9"/>
    </row>
    <row r="826">
      <c r="A826" s="44"/>
      <c r="C826" s="5"/>
      <c r="E826" s="19"/>
      <c r="F826" s="5"/>
      <c r="H826" s="19"/>
      <c r="O826" s="5"/>
      <c r="Q826" s="5"/>
      <c r="R826" s="9"/>
    </row>
    <row r="827">
      <c r="A827" s="44"/>
      <c r="C827" s="5"/>
      <c r="E827" s="19"/>
      <c r="F827" s="5"/>
      <c r="H827" s="19"/>
      <c r="O827" s="5"/>
      <c r="Q827" s="5"/>
      <c r="R827" s="9"/>
    </row>
    <row r="828">
      <c r="A828" s="44"/>
      <c r="C828" s="5"/>
      <c r="E828" s="19"/>
      <c r="F828" s="5"/>
      <c r="H828" s="19"/>
      <c r="O828" s="5"/>
      <c r="Q828" s="5"/>
      <c r="R828" s="9"/>
    </row>
    <row r="829">
      <c r="A829" s="44"/>
      <c r="C829" s="5"/>
      <c r="E829" s="19"/>
      <c r="F829" s="5"/>
      <c r="H829" s="19"/>
      <c r="O829" s="5"/>
      <c r="Q829" s="5"/>
      <c r="R829" s="9"/>
    </row>
    <row r="830">
      <c r="A830" s="44"/>
      <c r="C830" s="5"/>
      <c r="E830" s="19"/>
      <c r="F830" s="5"/>
      <c r="H830" s="19"/>
      <c r="O830" s="5"/>
      <c r="Q830" s="5"/>
      <c r="R830" s="9"/>
    </row>
    <row r="831">
      <c r="A831" s="44"/>
      <c r="C831" s="5"/>
      <c r="E831" s="19"/>
      <c r="F831" s="5"/>
      <c r="H831" s="19"/>
      <c r="O831" s="5"/>
      <c r="Q831" s="5"/>
      <c r="R831" s="9"/>
    </row>
    <row r="832">
      <c r="A832" s="44"/>
      <c r="C832" s="5"/>
      <c r="E832" s="19"/>
      <c r="F832" s="5"/>
      <c r="H832" s="19"/>
      <c r="O832" s="5"/>
      <c r="Q832" s="5"/>
      <c r="R832" s="9"/>
    </row>
    <row r="833">
      <c r="A833" s="44"/>
      <c r="C833" s="5"/>
      <c r="E833" s="19"/>
      <c r="F833" s="5"/>
      <c r="H833" s="19"/>
      <c r="O833" s="5"/>
      <c r="Q833" s="5"/>
      <c r="R833" s="9"/>
    </row>
    <row r="834">
      <c r="A834" s="44"/>
      <c r="C834" s="5"/>
      <c r="E834" s="19"/>
      <c r="F834" s="5"/>
      <c r="H834" s="19"/>
      <c r="O834" s="5"/>
      <c r="Q834" s="5"/>
      <c r="R834" s="9"/>
    </row>
    <row r="835">
      <c r="A835" s="44"/>
      <c r="C835" s="5"/>
      <c r="E835" s="19"/>
      <c r="F835" s="5"/>
      <c r="H835" s="19"/>
      <c r="O835" s="5"/>
      <c r="Q835" s="5"/>
      <c r="R835" s="9"/>
    </row>
    <row r="836">
      <c r="A836" s="44"/>
      <c r="C836" s="5"/>
      <c r="E836" s="19"/>
      <c r="F836" s="5"/>
      <c r="H836" s="19"/>
      <c r="O836" s="5"/>
      <c r="Q836" s="5"/>
      <c r="R836" s="9"/>
    </row>
    <row r="837">
      <c r="A837" s="44"/>
      <c r="C837" s="5"/>
      <c r="E837" s="19"/>
      <c r="F837" s="5"/>
      <c r="H837" s="19"/>
      <c r="O837" s="5"/>
      <c r="Q837" s="5"/>
      <c r="R837" s="9"/>
    </row>
    <row r="838">
      <c r="A838" s="44"/>
      <c r="C838" s="5"/>
      <c r="E838" s="19"/>
      <c r="F838" s="5"/>
      <c r="H838" s="19"/>
      <c r="O838" s="5"/>
      <c r="Q838" s="5"/>
      <c r="R838" s="9"/>
    </row>
    <row r="839">
      <c r="A839" s="44"/>
      <c r="C839" s="5"/>
      <c r="E839" s="19"/>
      <c r="F839" s="5"/>
      <c r="H839" s="19"/>
      <c r="O839" s="5"/>
      <c r="Q839" s="5"/>
      <c r="R839" s="9"/>
    </row>
    <row r="840">
      <c r="A840" s="44"/>
      <c r="C840" s="5"/>
      <c r="E840" s="19"/>
      <c r="F840" s="5"/>
      <c r="H840" s="19"/>
      <c r="O840" s="5"/>
      <c r="Q840" s="5"/>
      <c r="R840" s="9"/>
    </row>
    <row r="841">
      <c r="A841" s="44"/>
      <c r="C841" s="5"/>
      <c r="E841" s="19"/>
      <c r="F841" s="5"/>
      <c r="H841" s="19"/>
      <c r="O841" s="5"/>
      <c r="Q841" s="5"/>
      <c r="R841" s="9"/>
    </row>
    <row r="842">
      <c r="A842" s="44"/>
      <c r="C842" s="5"/>
      <c r="E842" s="19"/>
      <c r="F842" s="5"/>
      <c r="H842" s="19"/>
      <c r="O842" s="5"/>
      <c r="Q842" s="5"/>
      <c r="R842" s="9"/>
    </row>
    <row r="843">
      <c r="A843" s="44"/>
      <c r="C843" s="5"/>
      <c r="E843" s="19"/>
      <c r="F843" s="5"/>
      <c r="H843" s="19"/>
      <c r="O843" s="5"/>
      <c r="Q843" s="5"/>
      <c r="R843" s="9"/>
    </row>
    <row r="844">
      <c r="A844" s="44"/>
      <c r="C844" s="5"/>
      <c r="E844" s="19"/>
      <c r="F844" s="5"/>
      <c r="H844" s="19"/>
      <c r="O844" s="5"/>
      <c r="Q844" s="5"/>
      <c r="R844" s="9"/>
    </row>
    <row r="845">
      <c r="A845" s="44"/>
      <c r="C845" s="5"/>
      <c r="E845" s="19"/>
      <c r="F845" s="5"/>
      <c r="H845" s="19"/>
      <c r="O845" s="5"/>
      <c r="Q845" s="5"/>
      <c r="R845" s="9"/>
    </row>
    <row r="846">
      <c r="A846" s="44"/>
      <c r="C846" s="5"/>
      <c r="E846" s="19"/>
      <c r="F846" s="5"/>
      <c r="H846" s="19"/>
      <c r="O846" s="5"/>
      <c r="Q846" s="5"/>
      <c r="R846" s="9"/>
    </row>
    <row r="847">
      <c r="A847" s="44"/>
      <c r="C847" s="5"/>
      <c r="E847" s="19"/>
      <c r="F847" s="5"/>
      <c r="H847" s="19"/>
      <c r="O847" s="5"/>
      <c r="Q847" s="5"/>
      <c r="R847" s="9"/>
    </row>
    <row r="848">
      <c r="A848" s="44"/>
      <c r="C848" s="5"/>
      <c r="E848" s="19"/>
      <c r="F848" s="5"/>
      <c r="H848" s="19"/>
      <c r="O848" s="5"/>
      <c r="Q848" s="5"/>
      <c r="R848" s="9"/>
    </row>
    <row r="849">
      <c r="A849" s="44"/>
      <c r="C849" s="5"/>
      <c r="E849" s="19"/>
      <c r="F849" s="5"/>
      <c r="H849" s="19"/>
      <c r="O849" s="5"/>
      <c r="Q849" s="5"/>
      <c r="R849" s="9"/>
    </row>
    <row r="850">
      <c r="A850" s="44"/>
      <c r="C850" s="5"/>
      <c r="E850" s="19"/>
      <c r="F850" s="5"/>
      <c r="H850" s="19"/>
      <c r="O850" s="5"/>
      <c r="Q850" s="5"/>
      <c r="R850" s="9"/>
    </row>
    <row r="851">
      <c r="A851" s="44"/>
      <c r="C851" s="5"/>
      <c r="E851" s="19"/>
      <c r="F851" s="5"/>
      <c r="H851" s="19"/>
      <c r="O851" s="5"/>
      <c r="Q851" s="5"/>
      <c r="R851" s="9"/>
    </row>
    <row r="852">
      <c r="A852" s="44"/>
      <c r="C852" s="5"/>
      <c r="E852" s="19"/>
      <c r="F852" s="5"/>
      <c r="H852" s="19"/>
      <c r="O852" s="5"/>
      <c r="Q852" s="5"/>
      <c r="R852" s="9"/>
    </row>
    <row r="853">
      <c r="A853" s="44"/>
      <c r="C853" s="5"/>
      <c r="E853" s="19"/>
      <c r="F853" s="5"/>
      <c r="H853" s="19"/>
      <c r="O853" s="5"/>
      <c r="Q853" s="5"/>
      <c r="R853" s="9"/>
    </row>
    <row r="854">
      <c r="A854" s="44"/>
      <c r="C854" s="5"/>
      <c r="E854" s="19"/>
      <c r="F854" s="5"/>
      <c r="H854" s="19"/>
      <c r="O854" s="5"/>
      <c r="Q854" s="5"/>
      <c r="R854" s="9"/>
    </row>
    <row r="855">
      <c r="A855" s="44"/>
      <c r="C855" s="5"/>
      <c r="E855" s="19"/>
      <c r="F855" s="5"/>
      <c r="H855" s="19"/>
      <c r="O855" s="5"/>
      <c r="Q855" s="5"/>
      <c r="R855" s="9"/>
    </row>
    <row r="856">
      <c r="A856" s="44"/>
      <c r="C856" s="5"/>
      <c r="E856" s="19"/>
      <c r="F856" s="5"/>
      <c r="H856" s="19"/>
      <c r="O856" s="5"/>
      <c r="Q856" s="5"/>
      <c r="R856" s="9"/>
    </row>
    <row r="857">
      <c r="A857" s="44"/>
      <c r="C857" s="5"/>
      <c r="E857" s="19"/>
      <c r="F857" s="5"/>
      <c r="H857" s="19"/>
      <c r="O857" s="5"/>
      <c r="Q857" s="5"/>
      <c r="R857" s="9"/>
    </row>
    <row r="858">
      <c r="A858" s="44"/>
      <c r="C858" s="5"/>
      <c r="E858" s="19"/>
      <c r="F858" s="5"/>
      <c r="H858" s="19"/>
      <c r="O858" s="5"/>
      <c r="Q858" s="5"/>
      <c r="R858" s="9"/>
    </row>
    <row r="859">
      <c r="A859" s="44"/>
      <c r="C859" s="5"/>
      <c r="E859" s="19"/>
      <c r="F859" s="5"/>
      <c r="H859" s="19"/>
      <c r="O859" s="5"/>
      <c r="Q859" s="5"/>
      <c r="R859" s="9"/>
    </row>
    <row r="860">
      <c r="A860" s="44"/>
      <c r="C860" s="5"/>
      <c r="E860" s="19"/>
      <c r="F860" s="5"/>
      <c r="H860" s="19"/>
      <c r="O860" s="5"/>
      <c r="Q860" s="5"/>
      <c r="R860" s="9"/>
    </row>
    <row r="861">
      <c r="A861" s="44"/>
      <c r="C861" s="5"/>
      <c r="E861" s="19"/>
      <c r="F861" s="5"/>
      <c r="H861" s="19"/>
      <c r="O861" s="5"/>
      <c r="Q861" s="5"/>
      <c r="R861" s="9"/>
    </row>
    <row r="862">
      <c r="A862" s="44"/>
      <c r="C862" s="5"/>
      <c r="E862" s="19"/>
      <c r="F862" s="5"/>
      <c r="H862" s="19"/>
      <c r="O862" s="5"/>
      <c r="Q862" s="5"/>
      <c r="R862" s="9"/>
    </row>
    <row r="863">
      <c r="A863" s="44"/>
      <c r="C863" s="5"/>
      <c r="E863" s="19"/>
      <c r="F863" s="5"/>
      <c r="H863" s="19"/>
      <c r="O863" s="5"/>
      <c r="Q863" s="5"/>
      <c r="R863" s="9"/>
    </row>
    <row r="864">
      <c r="A864" s="44"/>
      <c r="C864" s="5"/>
      <c r="E864" s="19"/>
      <c r="F864" s="5"/>
      <c r="H864" s="19"/>
      <c r="O864" s="5"/>
      <c r="Q864" s="5"/>
      <c r="R864" s="9"/>
    </row>
    <row r="865">
      <c r="A865" s="44"/>
      <c r="C865" s="5"/>
      <c r="E865" s="19"/>
      <c r="F865" s="5"/>
      <c r="H865" s="19"/>
      <c r="O865" s="5"/>
      <c r="Q865" s="5"/>
      <c r="R865" s="9"/>
    </row>
    <row r="866">
      <c r="A866" s="44"/>
      <c r="C866" s="5"/>
      <c r="E866" s="19"/>
      <c r="F866" s="5"/>
      <c r="H866" s="19"/>
      <c r="O866" s="5"/>
      <c r="Q866" s="5"/>
      <c r="R866" s="9"/>
    </row>
    <row r="867">
      <c r="A867" s="44"/>
      <c r="C867" s="5"/>
      <c r="E867" s="19"/>
      <c r="F867" s="5"/>
      <c r="H867" s="19"/>
      <c r="O867" s="5"/>
      <c r="Q867" s="5"/>
      <c r="R867" s="9"/>
    </row>
    <row r="868">
      <c r="A868" s="44"/>
      <c r="C868" s="5"/>
      <c r="E868" s="19"/>
      <c r="F868" s="5"/>
      <c r="H868" s="19"/>
      <c r="O868" s="5"/>
      <c r="Q868" s="5"/>
      <c r="R868" s="9"/>
    </row>
    <row r="869">
      <c r="A869" s="44"/>
      <c r="C869" s="5"/>
      <c r="E869" s="19"/>
      <c r="F869" s="5"/>
      <c r="H869" s="19"/>
      <c r="O869" s="5"/>
      <c r="Q869" s="5"/>
      <c r="R869" s="9"/>
    </row>
    <row r="870">
      <c r="A870" s="44"/>
      <c r="C870" s="5"/>
      <c r="E870" s="19"/>
      <c r="F870" s="5"/>
      <c r="H870" s="19"/>
      <c r="O870" s="5"/>
      <c r="Q870" s="5"/>
      <c r="R870" s="9"/>
    </row>
    <row r="871">
      <c r="A871" s="44"/>
      <c r="C871" s="5"/>
      <c r="E871" s="19"/>
      <c r="F871" s="5"/>
      <c r="H871" s="19"/>
      <c r="O871" s="5"/>
      <c r="Q871" s="5"/>
      <c r="R871" s="9"/>
    </row>
    <row r="872">
      <c r="A872" s="44"/>
      <c r="C872" s="5"/>
      <c r="E872" s="19"/>
      <c r="F872" s="5"/>
      <c r="H872" s="19"/>
      <c r="O872" s="5"/>
      <c r="Q872" s="5"/>
      <c r="R872" s="9"/>
    </row>
    <row r="873">
      <c r="A873" s="44"/>
      <c r="C873" s="5"/>
      <c r="E873" s="19"/>
      <c r="F873" s="5"/>
      <c r="H873" s="19"/>
      <c r="O873" s="5"/>
      <c r="Q873" s="5"/>
      <c r="R873" s="9"/>
    </row>
    <row r="874">
      <c r="A874" s="44"/>
      <c r="C874" s="5"/>
      <c r="E874" s="19"/>
      <c r="F874" s="5"/>
      <c r="H874" s="19"/>
      <c r="O874" s="5"/>
      <c r="Q874" s="5"/>
      <c r="R874" s="9"/>
    </row>
    <row r="875">
      <c r="A875" s="44"/>
      <c r="C875" s="5"/>
      <c r="E875" s="19"/>
      <c r="F875" s="5"/>
      <c r="H875" s="19"/>
      <c r="O875" s="5"/>
      <c r="Q875" s="5"/>
      <c r="R875" s="9"/>
    </row>
    <row r="876">
      <c r="A876" s="44"/>
      <c r="C876" s="5"/>
      <c r="E876" s="19"/>
      <c r="F876" s="5"/>
      <c r="H876" s="19"/>
      <c r="O876" s="5"/>
      <c r="Q876" s="5"/>
      <c r="R876" s="9"/>
    </row>
    <row r="877">
      <c r="A877" s="44"/>
      <c r="C877" s="5"/>
      <c r="E877" s="19"/>
      <c r="F877" s="5"/>
      <c r="H877" s="19"/>
      <c r="O877" s="5"/>
      <c r="Q877" s="5"/>
      <c r="R877" s="9"/>
    </row>
    <row r="878">
      <c r="A878" s="44"/>
      <c r="C878" s="5"/>
      <c r="E878" s="19"/>
      <c r="F878" s="5"/>
      <c r="H878" s="19"/>
      <c r="O878" s="5"/>
      <c r="Q878" s="5"/>
      <c r="R878" s="9"/>
    </row>
    <row r="879">
      <c r="A879" s="44"/>
      <c r="C879" s="5"/>
      <c r="E879" s="19"/>
      <c r="F879" s="5"/>
      <c r="H879" s="19"/>
      <c r="O879" s="5"/>
      <c r="Q879" s="5"/>
      <c r="R879" s="9"/>
    </row>
    <row r="880">
      <c r="A880" s="44"/>
      <c r="C880" s="5"/>
      <c r="E880" s="19"/>
      <c r="F880" s="5"/>
      <c r="H880" s="19"/>
      <c r="O880" s="5"/>
      <c r="Q880" s="5"/>
      <c r="R880" s="9"/>
    </row>
    <row r="881">
      <c r="A881" s="44"/>
      <c r="C881" s="5"/>
      <c r="E881" s="19"/>
      <c r="F881" s="5"/>
      <c r="H881" s="19"/>
      <c r="O881" s="5"/>
      <c r="Q881" s="5"/>
      <c r="R881" s="9"/>
    </row>
    <row r="882">
      <c r="A882" s="44"/>
      <c r="C882" s="5"/>
      <c r="E882" s="19"/>
      <c r="F882" s="5"/>
      <c r="H882" s="19"/>
      <c r="O882" s="5"/>
      <c r="Q882" s="5"/>
      <c r="R882" s="9"/>
    </row>
    <row r="883">
      <c r="A883" s="44"/>
      <c r="C883" s="5"/>
      <c r="E883" s="19"/>
      <c r="F883" s="5"/>
      <c r="H883" s="19"/>
      <c r="O883" s="5"/>
      <c r="Q883" s="5"/>
      <c r="R883" s="9"/>
    </row>
    <row r="884">
      <c r="A884" s="44"/>
      <c r="C884" s="5"/>
      <c r="E884" s="19"/>
      <c r="F884" s="5"/>
      <c r="H884" s="19"/>
      <c r="O884" s="5"/>
      <c r="Q884" s="5"/>
      <c r="R884" s="9"/>
    </row>
    <row r="885">
      <c r="A885" s="44"/>
      <c r="C885" s="5"/>
      <c r="E885" s="19"/>
      <c r="F885" s="5"/>
      <c r="H885" s="19"/>
      <c r="O885" s="5"/>
      <c r="Q885" s="5"/>
      <c r="R885" s="9"/>
    </row>
    <row r="886">
      <c r="A886" s="44"/>
      <c r="C886" s="5"/>
      <c r="E886" s="19"/>
      <c r="F886" s="5"/>
      <c r="H886" s="19"/>
      <c r="O886" s="5"/>
      <c r="Q886" s="5"/>
      <c r="R886" s="9"/>
    </row>
    <row r="887">
      <c r="A887" s="44"/>
      <c r="C887" s="5"/>
      <c r="E887" s="19"/>
      <c r="F887" s="5"/>
      <c r="H887" s="19"/>
      <c r="O887" s="5"/>
      <c r="Q887" s="5"/>
      <c r="R887" s="9"/>
    </row>
    <row r="888">
      <c r="A888" s="44"/>
      <c r="C888" s="5"/>
      <c r="E888" s="19"/>
      <c r="F888" s="5"/>
      <c r="H888" s="19"/>
      <c r="O888" s="5"/>
      <c r="Q888" s="5"/>
      <c r="R888" s="9"/>
    </row>
    <row r="889">
      <c r="A889" s="44"/>
      <c r="C889" s="5"/>
      <c r="E889" s="19"/>
      <c r="F889" s="5"/>
      <c r="H889" s="19"/>
      <c r="O889" s="5"/>
      <c r="Q889" s="5"/>
      <c r="R889" s="9"/>
    </row>
    <row r="890">
      <c r="A890" s="44"/>
      <c r="C890" s="5"/>
      <c r="E890" s="19"/>
      <c r="F890" s="5"/>
      <c r="H890" s="19"/>
      <c r="O890" s="5"/>
      <c r="Q890" s="5"/>
      <c r="R890" s="9"/>
    </row>
    <row r="891">
      <c r="A891" s="44"/>
      <c r="C891" s="5"/>
      <c r="E891" s="19"/>
      <c r="F891" s="5"/>
      <c r="H891" s="19"/>
      <c r="O891" s="5"/>
      <c r="Q891" s="5"/>
      <c r="R891" s="9"/>
    </row>
    <row r="892">
      <c r="A892" s="44"/>
      <c r="C892" s="5"/>
      <c r="E892" s="19"/>
      <c r="F892" s="5"/>
      <c r="H892" s="19"/>
      <c r="O892" s="5"/>
      <c r="Q892" s="5"/>
      <c r="R892" s="9"/>
    </row>
    <row r="893">
      <c r="A893" s="44"/>
      <c r="C893" s="5"/>
      <c r="E893" s="19"/>
      <c r="F893" s="5"/>
      <c r="H893" s="19"/>
      <c r="O893" s="5"/>
      <c r="Q893" s="5"/>
      <c r="R893" s="9"/>
    </row>
    <row r="894">
      <c r="A894" s="44"/>
      <c r="C894" s="5"/>
      <c r="E894" s="19"/>
      <c r="F894" s="5"/>
      <c r="H894" s="19"/>
      <c r="O894" s="5"/>
      <c r="Q894" s="5"/>
      <c r="R894" s="9"/>
    </row>
    <row r="895">
      <c r="A895" s="44"/>
      <c r="C895" s="5"/>
      <c r="E895" s="19"/>
      <c r="F895" s="5"/>
      <c r="H895" s="19"/>
      <c r="O895" s="5"/>
      <c r="Q895" s="5"/>
      <c r="R895" s="9"/>
    </row>
    <row r="896">
      <c r="A896" s="44"/>
      <c r="C896" s="5"/>
      <c r="E896" s="19"/>
      <c r="F896" s="5"/>
      <c r="H896" s="19"/>
      <c r="O896" s="5"/>
      <c r="Q896" s="5"/>
      <c r="R896" s="9"/>
    </row>
    <row r="897">
      <c r="A897" s="44"/>
      <c r="C897" s="5"/>
      <c r="E897" s="19"/>
      <c r="F897" s="5"/>
      <c r="H897" s="19"/>
      <c r="O897" s="5"/>
      <c r="Q897" s="5"/>
      <c r="R897" s="9"/>
    </row>
    <row r="898">
      <c r="A898" s="44"/>
      <c r="C898" s="5"/>
      <c r="E898" s="19"/>
      <c r="F898" s="5"/>
      <c r="H898" s="19"/>
      <c r="O898" s="5"/>
      <c r="Q898" s="5"/>
      <c r="R898" s="9"/>
    </row>
    <row r="899">
      <c r="A899" s="44"/>
      <c r="C899" s="5"/>
      <c r="E899" s="19"/>
      <c r="F899" s="5"/>
      <c r="H899" s="19"/>
      <c r="O899" s="5"/>
      <c r="Q899" s="5"/>
      <c r="R899" s="9"/>
    </row>
    <row r="900">
      <c r="A900" s="44"/>
      <c r="C900" s="5"/>
      <c r="E900" s="19"/>
      <c r="F900" s="5"/>
      <c r="H900" s="19"/>
      <c r="O900" s="5"/>
      <c r="Q900" s="5"/>
      <c r="R900" s="9"/>
    </row>
    <row r="901">
      <c r="A901" s="44"/>
      <c r="C901" s="5"/>
      <c r="E901" s="19"/>
      <c r="F901" s="5"/>
      <c r="H901" s="19"/>
      <c r="O901" s="5"/>
      <c r="Q901" s="5"/>
      <c r="R901" s="9"/>
    </row>
    <row r="902">
      <c r="A902" s="44"/>
      <c r="C902" s="5"/>
      <c r="E902" s="19"/>
      <c r="F902" s="5"/>
      <c r="H902" s="19"/>
      <c r="O902" s="5"/>
      <c r="Q902" s="5"/>
      <c r="R902" s="9"/>
    </row>
    <row r="903">
      <c r="A903" s="44"/>
      <c r="C903" s="5"/>
      <c r="E903" s="19"/>
      <c r="F903" s="5"/>
      <c r="H903" s="19"/>
      <c r="O903" s="5"/>
      <c r="Q903" s="5"/>
      <c r="R903" s="9"/>
    </row>
    <row r="904">
      <c r="A904" s="44"/>
      <c r="C904" s="5"/>
      <c r="E904" s="19"/>
      <c r="F904" s="5"/>
      <c r="H904" s="19"/>
      <c r="O904" s="5"/>
      <c r="Q904" s="5"/>
      <c r="R904" s="9"/>
    </row>
    <row r="905">
      <c r="A905" s="44"/>
      <c r="C905" s="5"/>
      <c r="E905" s="19"/>
      <c r="F905" s="5"/>
      <c r="H905" s="19"/>
      <c r="O905" s="5"/>
      <c r="Q905" s="5"/>
      <c r="R905" s="9"/>
    </row>
    <row r="906">
      <c r="A906" s="44"/>
      <c r="C906" s="5"/>
      <c r="E906" s="19"/>
      <c r="F906" s="5"/>
      <c r="H906" s="19"/>
      <c r="O906" s="5"/>
      <c r="Q906" s="5"/>
      <c r="R906" s="9"/>
    </row>
    <row r="907">
      <c r="A907" s="44"/>
      <c r="C907" s="5"/>
      <c r="E907" s="19"/>
      <c r="F907" s="5"/>
      <c r="H907" s="19"/>
      <c r="O907" s="5"/>
      <c r="Q907" s="5"/>
      <c r="R907" s="9"/>
    </row>
    <row r="908">
      <c r="A908" s="44"/>
      <c r="C908" s="5"/>
      <c r="E908" s="19"/>
      <c r="F908" s="5"/>
      <c r="H908" s="19"/>
      <c r="O908" s="5"/>
      <c r="Q908" s="5"/>
      <c r="R908" s="9"/>
    </row>
    <row r="909">
      <c r="A909" s="44"/>
      <c r="C909" s="5"/>
      <c r="E909" s="19"/>
      <c r="F909" s="5"/>
      <c r="H909" s="19"/>
      <c r="O909" s="5"/>
      <c r="Q909" s="5"/>
      <c r="R909" s="9"/>
    </row>
    <row r="910">
      <c r="A910" s="44"/>
      <c r="C910" s="5"/>
      <c r="E910" s="19"/>
      <c r="F910" s="5"/>
      <c r="H910" s="19"/>
      <c r="O910" s="5"/>
      <c r="Q910" s="5"/>
      <c r="R910" s="9"/>
    </row>
    <row r="911">
      <c r="A911" s="44"/>
      <c r="C911" s="5"/>
      <c r="E911" s="19"/>
      <c r="F911" s="5"/>
      <c r="H911" s="19"/>
      <c r="O911" s="5"/>
      <c r="Q911" s="5"/>
      <c r="R911" s="9"/>
    </row>
    <row r="912">
      <c r="A912" s="44"/>
      <c r="C912" s="5"/>
      <c r="E912" s="19"/>
      <c r="F912" s="5"/>
      <c r="H912" s="19"/>
      <c r="O912" s="5"/>
      <c r="Q912" s="5"/>
      <c r="R912" s="9"/>
    </row>
    <row r="913">
      <c r="A913" s="44"/>
      <c r="C913" s="5"/>
      <c r="E913" s="19"/>
      <c r="F913" s="5"/>
      <c r="H913" s="19"/>
      <c r="O913" s="5"/>
      <c r="Q913" s="5"/>
      <c r="R913" s="9"/>
    </row>
    <row r="914">
      <c r="A914" s="44"/>
      <c r="C914" s="5"/>
      <c r="E914" s="19"/>
      <c r="F914" s="5"/>
      <c r="H914" s="19"/>
      <c r="O914" s="5"/>
      <c r="Q914" s="5"/>
      <c r="R914" s="9"/>
    </row>
    <row r="915">
      <c r="A915" s="44"/>
      <c r="C915" s="5"/>
      <c r="E915" s="19"/>
      <c r="F915" s="5"/>
      <c r="H915" s="19"/>
      <c r="O915" s="5"/>
      <c r="Q915" s="5"/>
      <c r="R915" s="9"/>
    </row>
    <row r="916">
      <c r="A916" s="44"/>
      <c r="C916" s="5"/>
      <c r="E916" s="19"/>
      <c r="F916" s="5"/>
      <c r="H916" s="19"/>
      <c r="O916" s="5"/>
      <c r="Q916" s="5"/>
      <c r="R916" s="9"/>
    </row>
    <row r="917">
      <c r="A917" s="44"/>
      <c r="C917" s="5"/>
      <c r="E917" s="19"/>
      <c r="F917" s="5"/>
      <c r="H917" s="19"/>
      <c r="O917" s="5"/>
      <c r="Q917" s="5"/>
      <c r="R917" s="9"/>
    </row>
    <row r="918">
      <c r="A918" s="44"/>
      <c r="C918" s="5"/>
      <c r="E918" s="19"/>
      <c r="F918" s="5"/>
      <c r="H918" s="19"/>
      <c r="O918" s="5"/>
      <c r="Q918" s="5"/>
      <c r="R918" s="9"/>
    </row>
    <row r="919">
      <c r="A919" s="44"/>
      <c r="C919" s="5"/>
      <c r="E919" s="19"/>
      <c r="F919" s="5"/>
      <c r="H919" s="19"/>
      <c r="O919" s="5"/>
      <c r="Q919" s="5"/>
      <c r="R919" s="9"/>
    </row>
    <row r="920">
      <c r="A920" s="44"/>
      <c r="C920" s="5"/>
      <c r="E920" s="19"/>
      <c r="F920" s="5"/>
      <c r="H920" s="19"/>
      <c r="O920" s="5"/>
      <c r="Q920" s="5"/>
      <c r="R920" s="9"/>
    </row>
    <row r="921">
      <c r="A921" s="44"/>
      <c r="C921" s="5"/>
      <c r="E921" s="19"/>
      <c r="F921" s="5"/>
      <c r="H921" s="19"/>
      <c r="O921" s="5"/>
      <c r="Q921" s="5"/>
      <c r="R921" s="9"/>
    </row>
    <row r="922">
      <c r="A922" s="44"/>
      <c r="C922" s="5"/>
      <c r="E922" s="19"/>
      <c r="F922" s="5"/>
      <c r="H922" s="19"/>
      <c r="O922" s="5"/>
      <c r="Q922" s="5"/>
      <c r="R922" s="9"/>
    </row>
    <row r="923">
      <c r="A923" s="44"/>
      <c r="C923" s="5"/>
      <c r="E923" s="19"/>
      <c r="F923" s="5"/>
      <c r="H923" s="19"/>
      <c r="O923" s="5"/>
      <c r="Q923" s="5"/>
      <c r="R923" s="9"/>
    </row>
    <row r="924">
      <c r="A924" s="44"/>
      <c r="C924" s="5"/>
      <c r="E924" s="19"/>
      <c r="F924" s="5"/>
      <c r="H924" s="19"/>
      <c r="O924" s="5"/>
      <c r="Q924" s="5"/>
      <c r="R924" s="9"/>
    </row>
    <row r="925">
      <c r="A925" s="44"/>
      <c r="C925" s="5"/>
      <c r="E925" s="19"/>
      <c r="F925" s="5"/>
      <c r="H925" s="19"/>
      <c r="O925" s="5"/>
      <c r="Q925" s="5"/>
      <c r="R925" s="9"/>
    </row>
    <row r="926">
      <c r="A926" s="44"/>
      <c r="C926" s="5"/>
      <c r="E926" s="19"/>
      <c r="F926" s="5"/>
      <c r="H926" s="19"/>
      <c r="O926" s="5"/>
      <c r="Q926" s="5"/>
      <c r="R926" s="9"/>
    </row>
    <row r="927">
      <c r="A927" s="44"/>
      <c r="C927" s="5"/>
      <c r="E927" s="19"/>
      <c r="F927" s="5"/>
      <c r="H927" s="19"/>
      <c r="O927" s="5"/>
      <c r="Q927" s="5"/>
      <c r="R927" s="9"/>
    </row>
    <row r="928">
      <c r="A928" s="44"/>
      <c r="C928" s="5"/>
      <c r="E928" s="19"/>
      <c r="F928" s="5"/>
      <c r="H928" s="19"/>
      <c r="O928" s="5"/>
      <c r="Q928" s="5"/>
      <c r="R928" s="9"/>
    </row>
    <row r="929">
      <c r="A929" s="44"/>
      <c r="C929" s="5"/>
      <c r="E929" s="19"/>
      <c r="F929" s="5"/>
      <c r="H929" s="19"/>
      <c r="O929" s="5"/>
      <c r="Q929" s="5"/>
      <c r="R929" s="9"/>
    </row>
    <row r="930">
      <c r="A930" s="44"/>
      <c r="C930" s="5"/>
      <c r="E930" s="19"/>
      <c r="F930" s="5"/>
      <c r="H930" s="19"/>
      <c r="O930" s="5"/>
      <c r="Q930" s="5"/>
      <c r="R930" s="9"/>
    </row>
    <row r="931">
      <c r="A931" s="44"/>
      <c r="C931" s="5"/>
      <c r="E931" s="19"/>
      <c r="F931" s="5"/>
      <c r="H931" s="19"/>
      <c r="O931" s="5"/>
      <c r="Q931" s="5"/>
      <c r="R931" s="9"/>
    </row>
    <row r="932">
      <c r="A932" s="44"/>
      <c r="C932" s="5"/>
      <c r="E932" s="19"/>
      <c r="F932" s="5"/>
      <c r="H932" s="19"/>
      <c r="O932" s="5"/>
      <c r="Q932" s="5"/>
      <c r="R932" s="9"/>
    </row>
    <row r="933">
      <c r="A933" s="44"/>
      <c r="C933" s="5"/>
      <c r="E933" s="19"/>
      <c r="F933" s="5"/>
      <c r="H933" s="19"/>
      <c r="O933" s="5"/>
      <c r="Q933" s="5"/>
      <c r="R933" s="9"/>
    </row>
    <row r="934">
      <c r="A934" s="44"/>
      <c r="C934" s="5"/>
      <c r="E934" s="19"/>
      <c r="F934" s="5"/>
      <c r="H934" s="19"/>
      <c r="O934" s="5"/>
      <c r="Q934" s="5"/>
      <c r="R934" s="9"/>
    </row>
    <row r="935">
      <c r="A935" s="44"/>
      <c r="C935" s="5"/>
      <c r="E935" s="19"/>
      <c r="F935" s="5"/>
      <c r="H935" s="19"/>
      <c r="O935" s="5"/>
      <c r="Q935" s="5"/>
      <c r="R935" s="9"/>
    </row>
    <row r="936">
      <c r="A936" s="44"/>
      <c r="C936" s="5"/>
      <c r="E936" s="19"/>
      <c r="F936" s="5"/>
      <c r="H936" s="19"/>
      <c r="O936" s="5"/>
      <c r="Q936" s="5"/>
      <c r="R936" s="9"/>
    </row>
    <row r="937">
      <c r="A937" s="44"/>
      <c r="C937" s="5"/>
      <c r="E937" s="19"/>
      <c r="F937" s="5"/>
      <c r="H937" s="19"/>
      <c r="O937" s="5"/>
      <c r="Q937" s="5"/>
      <c r="R937" s="9"/>
    </row>
    <row r="938">
      <c r="A938" s="44"/>
      <c r="C938" s="5"/>
      <c r="E938" s="19"/>
      <c r="F938" s="5"/>
      <c r="H938" s="19"/>
      <c r="O938" s="5"/>
      <c r="Q938" s="5"/>
      <c r="R938" s="9"/>
    </row>
    <row r="939">
      <c r="A939" s="44"/>
      <c r="C939" s="5"/>
      <c r="E939" s="19"/>
      <c r="F939" s="5"/>
      <c r="H939" s="19"/>
      <c r="O939" s="5"/>
      <c r="Q939" s="5"/>
      <c r="R939" s="9"/>
    </row>
    <row r="940">
      <c r="A940" s="44"/>
      <c r="C940" s="5"/>
      <c r="E940" s="19"/>
      <c r="F940" s="5"/>
      <c r="H940" s="19"/>
      <c r="O940" s="5"/>
      <c r="Q940" s="5"/>
      <c r="R940" s="9"/>
    </row>
    <row r="941">
      <c r="A941" s="44"/>
      <c r="C941" s="5"/>
      <c r="E941" s="19"/>
      <c r="F941" s="5"/>
      <c r="H941" s="19"/>
      <c r="O941" s="5"/>
      <c r="Q941" s="5"/>
      <c r="R941" s="9"/>
    </row>
    <row r="942">
      <c r="A942" s="44"/>
      <c r="C942" s="5"/>
      <c r="E942" s="19"/>
      <c r="F942" s="5"/>
      <c r="H942" s="19"/>
      <c r="O942" s="5"/>
      <c r="Q942" s="5"/>
      <c r="R942" s="9"/>
    </row>
    <row r="943">
      <c r="A943" s="44"/>
      <c r="C943" s="5"/>
      <c r="E943" s="19"/>
      <c r="F943" s="5"/>
      <c r="H943" s="19"/>
      <c r="O943" s="5"/>
      <c r="Q943" s="5"/>
      <c r="R943" s="9"/>
    </row>
    <row r="944">
      <c r="A944" s="44"/>
      <c r="C944" s="5"/>
      <c r="E944" s="19"/>
      <c r="F944" s="5"/>
      <c r="H944" s="19"/>
      <c r="O944" s="5"/>
      <c r="Q944" s="5"/>
      <c r="R944" s="9"/>
    </row>
    <row r="945">
      <c r="A945" s="44"/>
      <c r="C945" s="5"/>
      <c r="E945" s="19"/>
      <c r="F945" s="5"/>
      <c r="H945" s="19"/>
      <c r="O945" s="5"/>
      <c r="Q945" s="5"/>
      <c r="R945" s="9"/>
    </row>
    <row r="946">
      <c r="A946" s="44"/>
      <c r="C946" s="5"/>
      <c r="E946" s="19"/>
      <c r="F946" s="5"/>
      <c r="H946" s="19"/>
      <c r="O946" s="5"/>
      <c r="Q946" s="5"/>
      <c r="R946" s="9"/>
    </row>
    <row r="947">
      <c r="A947" s="44"/>
      <c r="C947" s="5"/>
      <c r="E947" s="19"/>
      <c r="F947" s="5"/>
      <c r="H947" s="19"/>
      <c r="O947" s="5"/>
      <c r="Q947" s="5"/>
      <c r="R947" s="9"/>
    </row>
    <row r="948">
      <c r="A948" s="44"/>
      <c r="C948" s="5"/>
      <c r="E948" s="19"/>
      <c r="F948" s="5"/>
      <c r="H948" s="19"/>
      <c r="O948" s="5"/>
      <c r="Q948" s="5"/>
      <c r="R948" s="9"/>
    </row>
    <row r="949">
      <c r="A949" s="44"/>
      <c r="C949" s="5"/>
      <c r="E949" s="19"/>
      <c r="F949" s="5"/>
      <c r="H949" s="19"/>
      <c r="O949" s="5"/>
      <c r="Q949" s="5"/>
      <c r="R949" s="9"/>
    </row>
    <row r="950">
      <c r="A950" s="44"/>
      <c r="C950" s="5"/>
      <c r="E950" s="19"/>
      <c r="F950" s="5"/>
      <c r="H950" s="19"/>
      <c r="O950" s="5"/>
      <c r="Q950" s="5"/>
      <c r="R950" s="9"/>
    </row>
    <row r="951">
      <c r="A951" s="44"/>
      <c r="C951" s="5"/>
      <c r="E951" s="19"/>
      <c r="F951" s="5"/>
      <c r="H951" s="19"/>
      <c r="O951" s="5"/>
      <c r="Q951" s="5"/>
      <c r="R951" s="9"/>
    </row>
    <row r="952">
      <c r="A952" s="44"/>
      <c r="C952" s="5"/>
      <c r="E952" s="19"/>
      <c r="F952" s="5"/>
      <c r="H952" s="19"/>
      <c r="O952" s="5"/>
      <c r="Q952" s="5"/>
      <c r="R952" s="9"/>
    </row>
    <row r="953">
      <c r="A953" s="44"/>
      <c r="C953" s="5"/>
      <c r="E953" s="19"/>
      <c r="F953" s="5"/>
      <c r="H953" s="19"/>
      <c r="O953" s="5"/>
      <c r="Q953" s="5"/>
      <c r="R953" s="9"/>
    </row>
    <row r="954">
      <c r="A954" s="44"/>
      <c r="C954" s="5"/>
      <c r="E954" s="19"/>
      <c r="F954" s="5"/>
      <c r="H954" s="19"/>
      <c r="O954" s="5"/>
      <c r="Q954" s="5"/>
      <c r="R954" s="9"/>
    </row>
    <row r="955">
      <c r="A955" s="44"/>
      <c r="C955" s="5"/>
      <c r="E955" s="19"/>
      <c r="F955" s="5"/>
      <c r="H955" s="19"/>
      <c r="O955" s="5"/>
      <c r="Q955" s="5"/>
      <c r="R955" s="9"/>
    </row>
    <row r="956">
      <c r="A956" s="44"/>
      <c r="C956" s="5"/>
      <c r="E956" s="19"/>
      <c r="F956" s="5"/>
      <c r="H956" s="19"/>
      <c r="O956" s="5"/>
      <c r="Q956" s="5"/>
      <c r="R956" s="9"/>
    </row>
    <row r="957">
      <c r="A957" s="44"/>
      <c r="C957" s="5"/>
      <c r="E957" s="19"/>
      <c r="F957" s="5"/>
      <c r="H957" s="19"/>
      <c r="O957" s="5"/>
      <c r="Q957" s="5"/>
      <c r="R957" s="9"/>
    </row>
    <row r="958">
      <c r="A958" s="44"/>
      <c r="C958" s="5"/>
      <c r="E958" s="19"/>
      <c r="F958" s="5"/>
      <c r="H958" s="19"/>
      <c r="O958" s="5"/>
      <c r="Q958" s="5"/>
      <c r="R958" s="9"/>
    </row>
    <row r="959">
      <c r="A959" s="44"/>
      <c r="C959" s="5"/>
      <c r="E959" s="19"/>
      <c r="F959" s="5"/>
      <c r="H959" s="19"/>
      <c r="O959" s="5"/>
      <c r="Q959" s="5"/>
      <c r="R959" s="9"/>
    </row>
    <row r="960">
      <c r="A960" s="44"/>
      <c r="C960" s="5"/>
      <c r="E960" s="19"/>
      <c r="F960" s="5"/>
      <c r="H960" s="19"/>
      <c r="O960" s="5"/>
      <c r="Q960" s="5"/>
      <c r="R960" s="9"/>
    </row>
    <row r="961">
      <c r="A961" s="44"/>
      <c r="C961" s="5"/>
      <c r="E961" s="19"/>
      <c r="F961" s="5"/>
      <c r="H961" s="19"/>
      <c r="O961" s="5"/>
      <c r="Q961" s="5"/>
      <c r="R961" s="9"/>
    </row>
    <row r="962">
      <c r="A962" s="44"/>
      <c r="C962" s="5"/>
      <c r="E962" s="19"/>
      <c r="F962" s="5"/>
      <c r="H962" s="19"/>
      <c r="O962" s="5"/>
      <c r="Q962" s="5"/>
      <c r="R962" s="9"/>
    </row>
    <row r="963">
      <c r="A963" s="44"/>
      <c r="C963" s="5"/>
      <c r="E963" s="19"/>
      <c r="F963" s="5"/>
      <c r="H963" s="19"/>
      <c r="O963" s="5"/>
      <c r="Q963" s="5"/>
      <c r="R963" s="9"/>
    </row>
    <row r="964">
      <c r="A964" s="44"/>
      <c r="C964" s="5"/>
      <c r="E964" s="19"/>
      <c r="F964" s="5"/>
      <c r="H964" s="19"/>
      <c r="O964" s="5"/>
      <c r="Q964" s="5"/>
      <c r="R964" s="9"/>
    </row>
    <row r="965">
      <c r="A965" s="44"/>
      <c r="C965" s="5"/>
      <c r="E965" s="19"/>
      <c r="F965" s="5"/>
      <c r="H965" s="19"/>
      <c r="O965" s="5"/>
      <c r="Q965" s="5"/>
      <c r="R965" s="9"/>
    </row>
    <row r="966">
      <c r="A966" s="44"/>
      <c r="C966" s="5"/>
      <c r="E966" s="19"/>
      <c r="F966" s="5"/>
      <c r="H966" s="19"/>
      <c r="O966" s="5"/>
      <c r="Q966" s="5"/>
      <c r="R966" s="9"/>
    </row>
    <row r="967">
      <c r="A967" s="44"/>
      <c r="C967" s="5"/>
      <c r="E967" s="19"/>
      <c r="F967" s="5"/>
      <c r="H967" s="19"/>
      <c r="O967" s="5"/>
      <c r="Q967" s="5"/>
      <c r="R967" s="9"/>
    </row>
    <row r="968">
      <c r="A968" s="44"/>
      <c r="C968" s="5"/>
      <c r="E968" s="19"/>
      <c r="F968" s="5"/>
      <c r="H968" s="19"/>
      <c r="O968" s="5"/>
      <c r="Q968" s="5"/>
      <c r="R968" s="9"/>
    </row>
    <row r="969">
      <c r="A969" s="44"/>
      <c r="C969" s="5"/>
      <c r="E969" s="19"/>
      <c r="F969" s="5"/>
      <c r="H969" s="19"/>
      <c r="O969" s="5"/>
      <c r="Q969" s="5"/>
      <c r="R969" s="9"/>
    </row>
    <row r="970">
      <c r="A970" s="44"/>
      <c r="C970" s="5"/>
      <c r="E970" s="19"/>
      <c r="F970" s="5"/>
      <c r="H970" s="19"/>
      <c r="O970" s="5"/>
      <c r="Q970" s="5"/>
      <c r="R970" s="9"/>
    </row>
    <row r="971">
      <c r="A971" s="44"/>
      <c r="C971" s="5"/>
      <c r="E971" s="19"/>
      <c r="F971" s="5"/>
      <c r="H971" s="19"/>
      <c r="O971" s="5"/>
      <c r="Q971" s="5"/>
      <c r="R971" s="9"/>
    </row>
    <row r="972">
      <c r="A972" s="44"/>
      <c r="C972" s="5"/>
      <c r="E972" s="19"/>
      <c r="F972" s="5"/>
      <c r="H972" s="19"/>
      <c r="O972" s="5"/>
      <c r="Q972" s="5"/>
      <c r="R972" s="9"/>
    </row>
    <row r="973">
      <c r="A973" s="44"/>
      <c r="C973" s="5"/>
      <c r="E973" s="19"/>
      <c r="F973" s="5"/>
      <c r="H973" s="19"/>
      <c r="O973" s="5"/>
      <c r="Q973" s="5"/>
      <c r="R973" s="9"/>
    </row>
    <row r="974">
      <c r="A974" s="44"/>
      <c r="C974" s="5"/>
      <c r="E974" s="19"/>
      <c r="F974" s="5"/>
      <c r="H974" s="19"/>
      <c r="O974" s="5"/>
      <c r="Q974" s="5"/>
      <c r="R974" s="9"/>
    </row>
    <row r="975">
      <c r="A975" s="44"/>
      <c r="C975" s="5"/>
      <c r="E975" s="19"/>
      <c r="F975" s="5"/>
      <c r="H975" s="19"/>
      <c r="O975" s="5"/>
      <c r="Q975" s="5"/>
      <c r="R975" s="9"/>
    </row>
    <row r="976">
      <c r="A976" s="44"/>
      <c r="C976" s="5"/>
      <c r="E976" s="19"/>
      <c r="F976" s="5"/>
      <c r="H976" s="19"/>
      <c r="O976" s="5"/>
      <c r="Q976" s="5"/>
      <c r="R976" s="9"/>
    </row>
    <row r="977">
      <c r="A977" s="44"/>
      <c r="C977" s="5"/>
      <c r="E977" s="19"/>
      <c r="F977" s="5"/>
      <c r="H977" s="19"/>
      <c r="O977" s="5"/>
      <c r="Q977" s="5"/>
      <c r="R977" s="9"/>
    </row>
    <row r="978">
      <c r="A978" s="44"/>
      <c r="C978" s="5"/>
      <c r="E978" s="19"/>
      <c r="F978" s="5"/>
      <c r="H978" s="19"/>
      <c r="O978" s="5"/>
      <c r="Q978" s="5"/>
      <c r="R978" s="9"/>
    </row>
    <row r="979">
      <c r="A979" s="44"/>
      <c r="C979" s="5"/>
      <c r="E979" s="19"/>
      <c r="F979" s="5"/>
      <c r="H979" s="19"/>
      <c r="O979" s="5"/>
      <c r="Q979" s="5"/>
      <c r="R979" s="9"/>
    </row>
    <row r="980">
      <c r="A980" s="44"/>
      <c r="C980" s="5"/>
      <c r="E980" s="19"/>
      <c r="F980" s="5"/>
      <c r="H980" s="19"/>
      <c r="O980" s="5"/>
      <c r="Q980" s="5"/>
      <c r="R980" s="9"/>
    </row>
    <row r="981">
      <c r="A981" s="44"/>
      <c r="C981" s="5"/>
      <c r="E981" s="19"/>
      <c r="F981" s="5"/>
      <c r="H981" s="19"/>
      <c r="O981" s="5"/>
      <c r="Q981" s="5"/>
      <c r="R981" s="9"/>
    </row>
    <row r="982">
      <c r="A982" s="44"/>
      <c r="C982" s="5"/>
      <c r="E982" s="19"/>
      <c r="F982" s="5"/>
      <c r="H982" s="19"/>
      <c r="O982" s="5"/>
      <c r="Q982" s="5"/>
      <c r="R982" s="9"/>
    </row>
    <row r="983">
      <c r="A983" s="44"/>
      <c r="C983" s="5"/>
      <c r="E983" s="19"/>
      <c r="F983" s="5"/>
      <c r="H983" s="19"/>
      <c r="O983" s="5"/>
      <c r="Q983" s="5"/>
      <c r="R983" s="9"/>
    </row>
    <row r="984">
      <c r="A984" s="44"/>
      <c r="C984" s="5"/>
      <c r="E984" s="19"/>
      <c r="F984" s="5"/>
      <c r="H984" s="19"/>
      <c r="O984" s="5"/>
      <c r="Q984" s="5"/>
      <c r="R984" s="9"/>
    </row>
    <row r="985">
      <c r="A985" s="44"/>
      <c r="C985" s="5"/>
      <c r="E985" s="19"/>
      <c r="F985" s="5"/>
      <c r="H985" s="19"/>
      <c r="O985" s="5"/>
      <c r="Q985" s="5"/>
      <c r="R985" s="9"/>
    </row>
    <row r="986">
      <c r="A986" s="44"/>
      <c r="C986" s="5"/>
      <c r="E986" s="19"/>
      <c r="F986" s="5"/>
      <c r="H986" s="19"/>
      <c r="O986" s="5"/>
      <c r="Q986" s="5"/>
      <c r="R986" s="9"/>
    </row>
    <row r="987">
      <c r="A987" s="44"/>
      <c r="C987" s="5"/>
      <c r="E987" s="19"/>
      <c r="F987" s="5"/>
      <c r="H987" s="19"/>
      <c r="O987" s="5"/>
      <c r="Q987" s="5"/>
      <c r="R987" s="9"/>
    </row>
    <row r="988">
      <c r="A988" s="44"/>
      <c r="C988" s="5"/>
      <c r="E988" s="19"/>
      <c r="F988" s="5"/>
      <c r="H988" s="19"/>
      <c r="O988" s="5"/>
      <c r="Q988" s="5"/>
      <c r="R988" s="9"/>
    </row>
    <row r="989">
      <c r="A989" s="44"/>
      <c r="C989" s="5"/>
      <c r="E989" s="19"/>
      <c r="F989" s="5"/>
      <c r="H989" s="19"/>
      <c r="O989" s="5"/>
      <c r="Q989" s="5"/>
      <c r="R989" s="9"/>
    </row>
    <row r="990">
      <c r="A990" s="44"/>
      <c r="C990" s="5"/>
      <c r="E990" s="19"/>
      <c r="F990" s="5"/>
      <c r="H990" s="19"/>
      <c r="O990" s="5"/>
      <c r="Q990" s="5"/>
      <c r="R990" s="9"/>
    </row>
    <row r="991">
      <c r="A991" s="44"/>
      <c r="C991" s="5"/>
      <c r="E991" s="19"/>
      <c r="F991" s="5"/>
      <c r="H991" s="19"/>
      <c r="O991" s="5"/>
      <c r="Q991" s="5"/>
      <c r="R991" s="9"/>
    </row>
    <row r="992">
      <c r="A992" s="44"/>
      <c r="C992" s="5"/>
      <c r="E992" s="19"/>
      <c r="F992" s="5"/>
      <c r="H992" s="19"/>
      <c r="O992" s="5"/>
      <c r="Q992" s="5"/>
      <c r="R992" s="9"/>
    </row>
    <row r="993">
      <c r="A993" s="44"/>
      <c r="C993" s="5"/>
      <c r="E993" s="19"/>
      <c r="F993" s="5"/>
      <c r="H993" s="19"/>
      <c r="O993" s="5"/>
      <c r="Q993" s="5"/>
      <c r="R993" s="9"/>
    </row>
    <row r="994">
      <c r="A994" s="44"/>
      <c r="C994" s="5"/>
      <c r="E994" s="19"/>
      <c r="F994" s="5"/>
      <c r="H994" s="19"/>
      <c r="O994" s="5"/>
      <c r="Q994" s="5"/>
      <c r="R994" s="9"/>
    </row>
    <row r="995">
      <c r="A995" s="44"/>
      <c r="C995" s="5"/>
      <c r="E995" s="19"/>
      <c r="F995" s="5"/>
      <c r="H995" s="19"/>
      <c r="O995" s="5"/>
      <c r="Q995" s="5"/>
      <c r="R995" s="9"/>
    </row>
    <row r="996">
      <c r="A996" s="44"/>
      <c r="C996" s="5"/>
      <c r="E996" s="19"/>
      <c r="F996" s="5"/>
      <c r="H996" s="19"/>
      <c r="O996" s="5"/>
      <c r="Q996" s="5"/>
      <c r="R996" s="9"/>
    </row>
    <row r="997">
      <c r="A997" s="44"/>
      <c r="C997" s="5"/>
      <c r="E997" s="19"/>
      <c r="F997" s="5"/>
      <c r="H997" s="19"/>
      <c r="O997" s="5"/>
      <c r="Q997" s="5"/>
      <c r="R997" s="9"/>
    </row>
    <row r="998">
      <c r="A998" s="44"/>
      <c r="C998" s="5"/>
      <c r="E998" s="19"/>
      <c r="F998" s="5"/>
      <c r="H998" s="19"/>
      <c r="O998" s="5"/>
      <c r="Q998" s="5"/>
      <c r="R998" s="9"/>
    </row>
    <row r="999">
      <c r="A999" s="39"/>
      <c r="C999" s="5"/>
      <c r="E999" s="19"/>
      <c r="F999" s="5"/>
      <c r="H999" s="19"/>
      <c r="O999" s="5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168.49</v>
      </c>
      <c r="G1" s="28"/>
      <c r="H1" s="1" t="s">
        <v>46</v>
      </c>
      <c r="I1" s="5">
        <f>I6-I7</f>
        <v>-1357.11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106.64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45992.0</v>
      </c>
      <c r="B2" s="4" t="s">
        <v>8</v>
      </c>
      <c r="C2" s="21">
        <v>1300.0</v>
      </c>
      <c r="E2" s="1" t="s">
        <v>52</v>
      </c>
      <c r="F2" s="5">
        <f t="shared" si="1"/>
        <v>55.87</v>
      </c>
      <c r="G2" s="28"/>
      <c r="H2" s="1" t="s">
        <v>6</v>
      </c>
      <c r="I2" s="5">
        <f>SUMIF(B:B,H2,C:C)</f>
        <v>1500</v>
      </c>
      <c r="K2" s="1" t="s">
        <v>53</v>
      </c>
      <c r="L2" s="5">
        <f t="shared" si="2"/>
        <v>0</v>
      </c>
      <c r="N2" s="39">
        <v>45992.0</v>
      </c>
      <c r="O2" s="5">
        <f>sumif(A:A,N2,C:C)-sum(C2:C4)</f>
        <v>784.97</v>
      </c>
      <c r="P2" s="5">
        <f>SUM(O2)</f>
        <v>784.97</v>
      </c>
      <c r="Q2" s="5">
        <f t="shared" ref="Q2:Q32" si="3">P2/(ROW()-1)</f>
        <v>784.97</v>
      </c>
      <c r="R2" s="9">
        <f t="shared" ref="R2:R32" si="4">count(N:N)*Q2</f>
        <v>24334.07</v>
      </c>
      <c r="T2" s="9"/>
      <c r="U2" s="9"/>
    </row>
    <row r="3">
      <c r="A3" s="39">
        <v>45992.0</v>
      </c>
      <c r="B3" s="4" t="s">
        <v>54</v>
      </c>
      <c r="C3" s="41">
        <f>850+355.13-6</f>
        <v>1199.13</v>
      </c>
      <c r="E3" s="1" t="s">
        <v>55</v>
      </c>
      <c r="F3" s="5">
        <f t="shared" si="1"/>
        <v>279.3</v>
      </c>
      <c r="G3" s="28"/>
      <c r="H3" s="1" t="s">
        <v>8</v>
      </c>
      <c r="I3" s="5">
        <f>SUMIF(B:B,H3,C:C)+I1</f>
        <v>-57.11</v>
      </c>
      <c r="K3" s="1" t="s">
        <v>56</v>
      </c>
      <c r="L3" s="5">
        <f t="shared" si="2"/>
        <v>15.55</v>
      </c>
      <c r="N3" s="39">
        <v>45993.0</v>
      </c>
      <c r="O3" s="40">
        <f t="shared" ref="O3:O32" si="5">sumif(A:A,N3,C:C)</f>
        <v>52.3</v>
      </c>
      <c r="P3" s="5">
        <f t="shared" ref="P3:P32" si="6">P2+O3</f>
        <v>837.27</v>
      </c>
      <c r="Q3" s="5">
        <f t="shared" si="3"/>
        <v>418.635</v>
      </c>
      <c r="R3" s="9">
        <f t="shared" si="4"/>
        <v>12977.685</v>
      </c>
    </row>
    <row r="4">
      <c r="A4" s="39">
        <v>45992.0</v>
      </c>
      <c r="B4" s="4" t="s">
        <v>6</v>
      </c>
      <c r="C4" s="21">
        <v>1500.0</v>
      </c>
      <c r="E4" s="1" t="s">
        <v>57</v>
      </c>
      <c r="F4" s="5">
        <f>SUMIF(B:B,"*"&amp;E4&amp;"*",C:C)+SUM(L1:L7)</f>
        <v>281.21</v>
      </c>
      <c r="G4" s="28"/>
      <c r="H4" s="1" t="s">
        <v>58</v>
      </c>
      <c r="I4" s="5">
        <f>I2+I3</f>
        <v>1442.89</v>
      </c>
      <c r="K4" s="1" t="s">
        <v>59</v>
      </c>
      <c r="L4" s="5">
        <f t="shared" si="2"/>
        <v>42.3</v>
      </c>
      <c r="N4" s="39">
        <v>45994.0</v>
      </c>
      <c r="O4" s="40">
        <f t="shared" si="5"/>
        <v>28.59</v>
      </c>
      <c r="P4" s="5">
        <f t="shared" si="6"/>
        <v>865.86</v>
      </c>
      <c r="Q4" s="5">
        <f t="shared" si="3"/>
        <v>288.62</v>
      </c>
      <c r="R4" s="9">
        <f t="shared" si="4"/>
        <v>8947.22</v>
      </c>
    </row>
    <row r="5">
      <c r="A5" s="39">
        <v>45992.0</v>
      </c>
      <c r="B5" s="4" t="s">
        <v>63</v>
      </c>
      <c r="C5" s="21">
        <v>7.0</v>
      </c>
      <c r="E5" s="42" t="s">
        <v>61</v>
      </c>
      <c r="F5" s="5">
        <f t="shared" ref="F5:F12" si="7">SUMIF(B:B,"*"&amp;E5&amp;"*",C:C)</f>
        <v>364.7133333</v>
      </c>
      <c r="G5" s="28"/>
      <c r="K5" s="1" t="s">
        <v>62</v>
      </c>
      <c r="L5" s="5">
        <f t="shared" si="2"/>
        <v>0</v>
      </c>
      <c r="N5" s="39">
        <v>45995.0</v>
      </c>
      <c r="O5" s="40">
        <f t="shared" si="5"/>
        <v>22.53</v>
      </c>
      <c r="P5" s="5">
        <f t="shared" si="6"/>
        <v>888.39</v>
      </c>
      <c r="Q5" s="5">
        <f t="shared" si="3"/>
        <v>222.0975</v>
      </c>
      <c r="R5" s="9">
        <f t="shared" si="4"/>
        <v>6885.0225</v>
      </c>
    </row>
    <row r="6">
      <c r="A6" s="39">
        <v>45992.0</v>
      </c>
      <c r="B6" s="4" t="s">
        <v>67</v>
      </c>
      <c r="C6" s="21">
        <v>21.99</v>
      </c>
      <c r="E6" s="1" t="s">
        <v>64</v>
      </c>
      <c r="F6" s="5">
        <f t="shared" si="7"/>
        <v>191.45</v>
      </c>
      <c r="G6" s="28"/>
      <c r="H6" s="1" t="s">
        <v>65</v>
      </c>
      <c r="I6" s="21">
        <v>5679.63</v>
      </c>
      <c r="K6" s="1" t="s">
        <v>66</v>
      </c>
      <c r="L6" s="5">
        <f t="shared" si="2"/>
        <v>88.38</v>
      </c>
      <c r="N6" s="39">
        <v>45996.0</v>
      </c>
      <c r="O6" s="40">
        <f t="shared" si="5"/>
        <v>86.35</v>
      </c>
      <c r="P6" s="5">
        <f t="shared" si="6"/>
        <v>974.74</v>
      </c>
      <c r="Q6" s="5">
        <f t="shared" si="3"/>
        <v>194.948</v>
      </c>
      <c r="R6" s="9">
        <f t="shared" si="4"/>
        <v>6043.388</v>
      </c>
    </row>
    <row r="7">
      <c r="A7" s="39">
        <v>45992.0</v>
      </c>
      <c r="B7" s="4" t="s">
        <v>70</v>
      </c>
      <c r="C7" s="21">
        <f>109/12</f>
        <v>9.083333333</v>
      </c>
      <c r="E7" s="1" t="s">
        <v>54</v>
      </c>
      <c r="F7" s="5">
        <f t="shared" si="7"/>
        <v>1206.13</v>
      </c>
      <c r="G7" s="28"/>
      <c r="H7" s="1" t="s">
        <v>68</v>
      </c>
      <c r="I7" s="5">
        <f>sum(C:C)</f>
        <v>7036.74</v>
      </c>
      <c r="K7" s="1" t="s">
        <v>69</v>
      </c>
      <c r="L7" s="5">
        <f t="shared" si="2"/>
        <v>0</v>
      </c>
      <c r="N7" s="39">
        <v>45997.0</v>
      </c>
      <c r="O7" s="40">
        <f t="shared" si="5"/>
        <v>193.04</v>
      </c>
      <c r="P7" s="5">
        <f t="shared" si="6"/>
        <v>1167.78</v>
      </c>
      <c r="Q7" s="5">
        <f t="shared" si="3"/>
        <v>194.63</v>
      </c>
      <c r="R7" s="9">
        <f t="shared" si="4"/>
        <v>6033.53</v>
      </c>
    </row>
    <row r="8">
      <c r="A8" s="39">
        <v>45992.0</v>
      </c>
      <c r="B8" s="4" t="s">
        <v>146</v>
      </c>
      <c r="C8" s="21">
        <f>(257.15/6)*2</f>
        <v>85.71666667</v>
      </c>
      <c r="E8" s="1" t="s">
        <v>127</v>
      </c>
      <c r="F8" s="5">
        <f t="shared" si="7"/>
        <v>68.04</v>
      </c>
      <c r="G8" s="28"/>
      <c r="H8" s="1" t="s">
        <v>72</v>
      </c>
      <c r="I8" s="5">
        <f>sum(F:F)+I2+C2</f>
        <v>5574.923333</v>
      </c>
      <c r="N8" s="39">
        <v>45998.0</v>
      </c>
      <c r="O8" s="40">
        <f t="shared" si="5"/>
        <v>29.46</v>
      </c>
      <c r="P8" s="5">
        <f t="shared" si="6"/>
        <v>1197.24</v>
      </c>
      <c r="Q8" s="5">
        <f t="shared" si="3"/>
        <v>171.0342857</v>
      </c>
      <c r="R8" s="9">
        <f t="shared" si="4"/>
        <v>5302.062857</v>
      </c>
    </row>
    <row r="9">
      <c r="A9" s="39">
        <v>45992.0</v>
      </c>
      <c r="B9" s="4" t="s">
        <v>147</v>
      </c>
      <c r="C9" s="21">
        <f>181.46+9.99</f>
        <v>191.45</v>
      </c>
      <c r="E9" s="1" t="s">
        <v>73</v>
      </c>
      <c r="F9" s="5">
        <f t="shared" si="7"/>
        <v>137.73</v>
      </c>
      <c r="G9" s="28"/>
      <c r="H9" s="1" t="s">
        <v>74</v>
      </c>
      <c r="I9" s="5">
        <f>I7-I8</f>
        <v>1461.816667</v>
      </c>
      <c r="N9" s="39">
        <v>45999.0</v>
      </c>
      <c r="O9" s="40">
        <f t="shared" si="5"/>
        <v>17.41</v>
      </c>
      <c r="P9" s="5">
        <f t="shared" si="6"/>
        <v>1214.65</v>
      </c>
      <c r="Q9" s="5">
        <f t="shared" si="3"/>
        <v>151.83125</v>
      </c>
      <c r="R9" s="9">
        <f t="shared" si="4"/>
        <v>4706.76875</v>
      </c>
    </row>
    <row r="10">
      <c r="A10" s="39">
        <v>45992.0</v>
      </c>
      <c r="B10" s="4" t="s">
        <v>148</v>
      </c>
      <c r="C10" s="21">
        <f>277.17</f>
        <v>277.17</v>
      </c>
      <c r="E10" s="1" t="s">
        <v>75</v>
      </c>
      <c r="F10" s="5">
        <f t="shared" si="7"/>
        <v>21.99</v>
      </c>
      <c r="G10" s="28"/>
      <c r="N10" s="39">
        <v>46000.0</v>
      </c>
      <c r="O10" s="40">
        <f t="shared" si="5"/>
        <v>9.5</v>
      </c>
      <c r="P10" s="5">
        <f t="shared" si="6"/>
        <v>1224.15</v>
      </c>
      <c r="Q10" s="5">
        <f t="shared" si="3"/>
        <v>136.0166667</v>
      </c>
      <c r="R10" s="9">
        <f t="shared" si="4"/>
        <v>4216.516667</v>
      </c>
    </row>
    <row r="11">
      <c r="A11" s="39">
        <v>45992.0</v>
      </c>
      <c r="B11" s="4" t="s">
        <v>149</v>
      </c>
      <c r="C11" s="21">
        <v>64.99</v>
      </c>
      <c r="E11" s="1" t="s">
        <v>76</v>
      </c>
      <c r="F11" s="5">
        <f t="shared" si="7"/>
        <v>0</v>
      </c>
      <c r="G11" s="28"/>
      <c r="H11" s="1" t="s">
        <v>3</v>
      </c>
      <c r="I11" s="28">
        <f>I4/I6</f>
        <v>0.2540464784</v>
      </c>
      <c r="N11" s="39">
        <v>46001.0</v>
      </c>
      <c r="O11" s="40">
        <f t="shared" si="5"/>
        <v>16</v>
      </c>
      <c r="P11" s="5">
        <f t="shared" si="6"/>
        <v>1240.15</v>
      </c>
      <c r="Q11" s="5">
        <f t="shared" si="3"/>
        <v>124.015</v>
      </c>
      <c r="R11" s="9">
        <f t="shared" si="4"/>
        <v>3844.465</v>
      </c>
    </row>
    <row r="12">
      <c r="A12" s="39">
        <v>45992.0</v>
      </c>
      <c r="B12" s="4" t="s">
        <v>100</v>
      </c>
      <c r="C12" s="21">
        <v>66.0</v>
      </c>
      <c r="E12" s="1" t="s">
        <v>77</v>
      </c>
      <c r="F12" s="5">
        <f t="shared" si="7"/>
        <v>0</v>
      </c>
      <c r="G12" s="28"/>
      <c r="N12" s="39">
        <v>46002.0</v>
      </c>
      <c r="O12" s="40">
        <f t="shared" si="5"/>
        <v>33.26</v>
      </c>
      <c r="P12" s="5">
        <f t="shared" si="6"/>
        <v>1273.41</v>
      </c>
      <c r="Q12" s="5">
        <f t="shared" si="3"/>
        <v>115.7645455</v>
      </c>
      <c r="R12" s="9">
        <f t="shared" si="4"/>
        <v>3588.700909</v>
      </c>
    </row>
    <row r="13">
      <c r="A13" s="39">
        <v>45992.0</v>
      </c>
      <c r="B13" s="4" t="s">
        <v>150</v>
      </c>
      <c r="C13" s="21">
        <v>47.5</v>
      </c>
      <c r="E13" s="1"/>
      <c r="F13" s="5"/>
      <c r="N13" s="39">
        <v>46003.0</v>
      </c>
      <c r="O13" s="40">
        <f t="shared" si="5"/>
        <v>18.63</v>
      </c>
      <c r="P13" s="5">
        <f t="shared" si="6"/>
        <v>1292.04</v>
      </c>
      <c r="Q13" s="5">
        <f t="shared" si="3"/>
        <v>107.67</v>
      </c>
      <c r="R13" s="9">
        <f t="shared" si="4"/>
        <v>3337.77</v>
      </c>
    </row>
    <row r="14">
      <c r="A14" s="39">
        <v>45992.0</v>
      </c>
      <c r="B14" s="4" t="s">
        <v>47</v>
      </c>
      <c r="C14" s="21">
        <v>14.07</v>
      </c>
      <c r="E14" s="1"/>
      <c r="F14" s="5"/>
      <c r="H14" s="19"/>
      <c r="N14" s="39">
        <v>46004.0</v>
      </c>
      <c r="O14" s="40">
        <f t="shared" si="5"/>
        <v>165.41</v>
      </c>
      <c r="P14" s="5">
        <f t="shared" si="6"/>
        <v>1457.45</v>
      </c>
      <c r="Q14" s="5">
        <f t="shared" si="3"/>
        <v>112.1115385</v>
      </c>
      <c r="R14" s="9">
        <f t="shared" si="4"/>
        <v>3475.457692</v>
      </c>
    </row>
    <row r="15">
      <c r="A15" s="39">
        <v>45993.0</v>
      </c>
      <c r="B15" s="4" t="s">
        <v>45</v>
      </c>
      <c r="C15" s="21">
        <v>7.9</v>
      </c>
      <c r="E15" s="1"/>
      <c r="H15" s="1"/>
      <c r="N15" s="39">
        <v>46005.0</v>
      </c>
      <c r="O15" s="40">
        <f t="shared" si="5"/>
        <v>14.92</v>
      </c>
      <c r="P15" s="5">
        <f t="shared" si="6"/>
        <v>1472.37</v>
      </c>
      <c r="Q15" s="5">
        <f t="shared" si="3"/>
        <v>105.1692857</v>
      </c>
      <c r="R15" s="9">
        <f t="shared" si="4"/>
        <v>3260.247857</v>
      </c>
    </row>
    <row r="16">
      <c r="A16" s="39">
        <v>45993.0</v>
      </c>
      <c r="B16" s="4" t="s">
        <v>66</v>
      </c>
      <c r="C16" s="21">
        <v>6.5</v>
      </c>
      <c r="H16" s="19"/>
      <c r="N16" s="39">
        <v>46006.0</v>
      </c>
      <c r="O16" s="40">
        <f t="shared" si="5"/>
        <v>0</v>
      </c>
      <c r="P16" s="5">
        <f t="shared" si="6"/>
        <v>1472.37</v>
      </c>
      <c r="Q16" s="5">
        <f t="shared" si="3"/>
        <v>98.158</v>
      </c>
      <c r="R16" s="9">
        <f t="shared" si="4"/>
        <v>3042.898</v>
      </c>
    </row>
    <row r="17">
      <c r="A17" s="39">
        <v>45993.0</v>
      </c>
      <c r="B17" s="4" t="s">
        <v>45</v>
      </c>
      <c r="C17" s="21">
        <v>29.0</v>
      </c>
      <c r="H17" s="19"/>
      <c r="N17" s="39">
        <v>46007.0</v>
      </c>
      <c r="O17" s="40">
        <f t="shared" si="5"/>
        <v>31.63</v>
      </c>
      <c r="P17" s="5">
        <f t="shared" si="6"/>
        <v>1504</v>
      </c>
      <c r="Q17" s="5">
        <f t="shared" si="3"/>
        <v>94</v>
      </c>
      <c r="R17" s="9">
        <f t="shared" si="4"/>
        <v>2914</v>
      </c>
    </row>
    <row r="18">
      <c r="A18" s="39">
        <v>45993.0</v>
      </c>
      <c r="B18" s="4" t="s">
        <v>127</v>
      </c>
      <c r="C18" s="21">
        <v>8.9</v>
      </c>
      <c r="H18" s="19"/>
      <c r="N18" s="39">
        <v>46008.0</v>
      </c>
      <c r="O18" s="40">
        <f t="shared" si="5"/>
        <v>18.8</v>
      </c>
      <c r="P18" s="5">
        <f t="shared" si="6"/>
        <v>1522.8</v>
      </c>
      <c r="Q18" s="5">
        <f t="shared" si="3"/>
        <v>89.57647059</v>
      </c>
      <c r="R18" s="9">
        <f t="shared" si="4"/>
        <v>2776.870588</v>
      </c>
    </row>
    <row r="19">
      <c r="A19" s="39">
        <v>45994.0</v>
      </c>
      <c r="B19" s="4" t="s">
        <v>138</v>
      </c>
      <c r="C19" s="21">
        <v>4.64</v>
      </c>
      <c r="H19" s="19"/>
      <c r="N19" s="39">
        <v>46009.0</v>
      </c>
      <c r="O19" s="40">
        <f t="shared" si="5"/>
        <v>25.91</v>
      </c>
      <c r="P19" s="5">
        <f t="shared" si="6"/>
        <v>1548.71</v>
      </c>
      <c r="Q19" s="5">
        <f t="shared" si="3"/>
        <v>86.03944444</v>
      </c>
      <c r="R19" s="9">
        <f t="shared" si="4"/>
        <v>2667.222778</v>
      </c>
    </row>
    <row r="20">
      <c r="A20" s="39">
        <v>45994.0</v>
      </c>
      <c r="B20" s="4" t="s">
        <v>47</v>
      </c>
      <c r="C20" s="21">
        <v>10.4</v>
      </c>
      <c r="H20" s="19"/>
      <c r="N20" s="39">
        <v>46010.0</v>
      </c>
      <c r="O20" s="40">
        <f t="shared" si="5"/>
        <v>57.4</v>
      </c>
      <c r="P20" s="5">
        <f t="shared" si="6"/>
        <v>1606.11</v>
      </c>
      <c r="Q20" s="5">
        <f t="shared" si="3"/>
        <v>84.53210526</v>
      </c>
      <c r="R20" s="9">
        <f t="shared" si="4"/>
        <v>2620.495263</v>
      </c>
    </row>
    <row r="21">
      <c r="A21" s="39">
        <v>45994.0</v>
      </c>
      <c r="B21" s="4" t="s">
        <v>127</v>
      </c>
      <c r="C21" s="21">
        <v>4.1</v>
      </c>
      <c r="E21" s="19"/>
      <c r="F21" s="5"/>
      <c r="H21" s="19"/>
      <c r="N21" s="39">
        <v>46011.0</v>
      </c>
      <c r="O21" s="40">
        <f t="shared" si="5"/>
        <v>52.65</v>
      </c>
      <c r="P21" s="5">
        <f t="shared" si="6"/>
        <v>1658.76</v>
      </c>
      <c r="Q21" s="5">
        <f t="shared" si="3"/>
        <v>82.938</v>
      </c>
      <c r="R21" s="9">
        <f t="shared" si="4"/>
        <v>2571.078</v>
      </c>
    </row>
    <row r="22">
      <c r="A22" s="39">
        <v>45994.0</v>
      </c>
      <c r="B22" s="4" t="s">
        <v>56</v>
      </c>
      <c r="C22" s="21">
        <v>9.45</v>
      </c>
      <c r="E22" s="19"/>
      <c r="F22" s="5"/>
      <c r="H22" s="19"/>
      <c r="N22" s="39">
        <v>46012.0</v>
      </c>
      <c r="O22" s="40">
        <f t="shared" si="5"/>
        <v>17.6</v>
      </c>
      <c r="P22" s="5">
        <f t="shared" si="6"/>
        <v>1676.36</v>
      </c>
      <c r="Q22" s="5">
        <f t="shared" si="3"/>
        <v>79.82666667</v>
      </c>
      <c r="R22" s="9">
        <f t="shared" si="4"/>
        <v>2474.626667</v>
      </c>
    </row>
    <row r="23">
      <c r="A23" s="39">
        <v>45995.0</v>
      </c>
      <c r="B23" s="4" t="s">
        <v>95</v>
      </c>
      <c r="C23" s="21">
        <v>3.98</v>
      </c>
      <c r="E23" s="19"/>
      <c r="F23" s="5"/>
      <c r="H23" s="19"/>
      <c r="N23" s="39">
        <v>46013.0</v>
      </c>
      <c r="O23" s="40">
        <f t="shared" si="5"/>
        <v>7.53</v>
      </c>
      <c r="P23" s="5">
        <f t="shared" si="6"/>
        <v>1683.89</v>
      </c>
      <c r="Q23" s="5">
        <f t="shared" si="3"/>
        <v>76.54045455</v>
      </c>
      <c r="R23" s="9">
        <f t="shared" si="4"/>
        <v>2372.754091</v>
      </c>
    </row>
    <row r="24">
      <c r="A24" s="39">
        <v>45995.0</v>
      </c>
      <c r="B24" s="4" t="s">
        <v>90</v>
      </c>
      <c r="C24" s="21">
        <v>11.55</v>
      </c>
      <c r="F24" s="5"/>
      <c r="H24" s="19"/>
      <c r="N24" s="39">
        <v>46014.0</v>
      </c>
      <c r="O24" s="40">
        <f t="shared" si="5"/>
        <v>21.49</v>
      </c>
      <c r="P24" s="5">
        <f t="shared" si="6"/>
        <v>1705.38</v>
      </c>
      <c r="Q24" s="5">
        <f t="shared" si="3"/>
        <v>74.14695652</v>
      </c>
      <c r="R24" s="9">
        <f t="shared" si="4"/>
        <v>2298.555652</v>
      </c>
    </row>
    <row r="25">
      <c r="A25" s="39">
        <v>45995.0</v>
      </c>
      <c r="B25" s="4" t="s">
        <v>127</v>
      </c>
      <c r="C25" s="21">
        <v>7.0</v>
      </c>
      <c r="F25" s="5"/>
      <c r="H25" s="19"/>
      <c r="N25" s="39">
        <v>46015.0</v>
      </c>
      <c r="O25" s="40">
        <f t="shared" si="5"/>
        <v>16.04</v>
      </c>
      <c r="P25" s="5">
        <f t="shared" si="6"/>
        <v>1721.42</v>
      </c>
      <c r="Q25" s="5">
        <f t="shared" si="3"/>
        <v>71.72583333</v>
      </c>
      <c r="R25" s="9">
        <f t="shared" si="4"/>
        <v>2223.500833</v>
      </c>
    </row>
    <row r="26">
      <c r="A26" s="39">
        <v>45996.0</v>
      </c>
      <c r="B26" s="4" t="s">
        <v>151</v>
      </c>
      <c r="C26" s="21">
        <v>15.0</v>
      </c>
      <c r="F26" s="5"/>
      <c r="H26" s="19"/>
      <c r="N26" s="39">
        <v>46016.0</v>
      </c>
      <c r="O26" s="40">
        <f t="shared" si="5"/>
        <v>9.99</v>
      </c>
      <c r="P26" s="5">
        <f t="shared" si="6"/>
        <v>1731.41</v>
      </c>
      <c r="Q26" s="5">
        <f t="shared" si="3"/>
        <v>69.2564</v>
      </c>
      <c r="R26" s="9">
        <f t="shared" si="4"/>
        <v>2146.9484</v>
      </c>
    </row>
    <row r="27">
      <c r="A27" s="39">
        <v>45996.0</v>
      </c>
      <c r="B27" s="4" t="s">
        <v>90</v>
      </c>
      <c r="C27" s="21">
        <v>6.0</v>
      </c>
      <c r="F27" s="5"/>
      <c r="H27" s="19"/>
      <c r="N27" s="39">
        <v>46017.0</v>
      </c>
      <c r="O27" s="40">
        <f t="shared" si="5"/>
        <v>43.54</v>
      </c>
      <c r="P27" s="5">
        <f t="shared" si="6"/>
        <v>1774.95</v>
      </c>
      <c r="Q27" s="5">
        <f t="shared" si="3"/>
        <v>68.26730769</v>
      </c>
      <c r="R27" s="9">
        <f t="shared" si="4"/>
        <v>2116.286538</v>
      </c>
    </row>
    <row r="28">
      <c r="A28" s="39">
        <v>45996.0</v>
      </c>
      <c r="B28" s="4" t="s">
        <v>66</v>
      </c>
      <c r="C28" s="21">
        <v>14.05</v>
      </c>
      <c r="F28" s="5"/>
      <c r="H28" s="19"/>
      <c r="N28" s="39">
        <v>46018.0</v>
      </c>
      <c r="O28" s="40">
        <f t="shared" si="5"/>
        <v>0</v>
      </c>
      <c r="P28" s="5">
        <f t="shared" si="6"/>
        <v>1774.95</v>
      </c>
      <c r="Q28" s="5">
        <f t="shared" si="3"/>
        <v>65.73888889</v>
      </c>
      <c r="R28" s="9">
        <f t="shared" si="4"/>
        <v>2037.905556</v>
      </c>
    </row>
    <row r="29">
      <c r="A29" s="39">
        <v>45996.0</v>
      </c>
      <c r="B29" s="4" t="s">
        <v>45</v>
      </c>
      <c r="C29" s="21">
        <f>13.8+20.7</f>
        <v>34.5</v>
      </c>
      <c r="F29" s="5"/>
      <c r="H29" s="19"/>
      <c r="N29" s="39">
        <v>46019.0</v>
      </c>
      <c r="O29" s="40">
        <f t="shared" si="5"/>
        <v>21.73</v>
      </c>
      <c r="P29" s="5">
        <f t="shared" si="6"/>
        <v>1796.68</v>
      </c>
      <c r="Q29" s="5">
        <f t="shared" si="3"/>
        <v>64.16714286</v>
      </c>
      <c r="R29" s="9">
        <f t="shared" si="4"/>
        <v>1989.181429</v>
      </c>
    </row>
    <row r="30">
      <c r="A30" s="39">
        <v>45996.0</v>
      </c>
      <c r="B30" s="4" t="s">
        <v>73</v>
      </c>
      <c r="C30" s="21">
        <v>10.4</v>
      </c>
      <c r="F30" s="5"/>
      <c r="H30" s="19"/>
      <c r="N30" s="39">
        <v>46020.0</v>
      </c>
      <c r="O30" s="40">
        <f t="shared" si="5"/>
        <v>66.03</v>
      </c>
      <c r="P30" s="5">
        <f t="shared" si="6"/>
        <v>1862.71</v>
      </c>
      <c r="Q30" s="5">
        <f t="shared" si="3"/>
        <v>64.23137931</v>
      </c>
      <c r="R30" s="9">
        <f t="shared" si="4"/>
        <v>1991.172759</v>
      </c>
    </row>
    <row r="31">
      <c r="A31" s="39">
        <v>45996.0</v>
      </c>
      <c r="B31" s="4" t="s">
        <v>127</v>
      </c>
      <c r="C31" s="21">
        <v>6.4</v>
      </c>
      <c r="E31" s="19"/>
      <c r="F31" s="5"/>
      <c r="H31" s="19"/>
      <c r="N31" s="39">
        <v>46021.0</v>
      </c>
      <c r="O31" s="40">
        <f t="shared" si="5"/>
        <v>38.94</v>
      </c>
      <c r="P31" s="5">
        <f t="shared" si="6"/>
        <v>1901.65</v>
      </c>
      <c r="Q31" s="5">
        <f t="shared" si="3"/>
        <v>63.38833333</v>
      </c>
      <c r="R31" s="9">
        <f t="shared" si="4"/>
        <v>1965.038333</v>
      </c>
    </row>
    <row r="32">
      <c r="A32" s="39">
        <v>45997.0</v>
      </c>
      <c r="B32" s="4" t="s">
        <v>93</v>
      </c>
      <c r="C32" s="21">
        <v>186.64</v>
      </c>
      <c r="E32" s="19"/>
      <c r="F32" s="5"/>
      <c r="H32" s="19"/>
      <c r="N32" s="39">
        <v>46022.0</v>
      </c>
      <c r="O32" s="40">
        <f t="shared" si="5"/>
        <v>1135.96</v>
      </c>
      <c r="P32" s="5">
        <f t="shared" si="6"/>
        <v>3037.61</v>
      </c>
      <c r="Q32" s="5">
        <f t="shared" si="3"/>
        <v>97.98741935</v>
      </c>
      <c r="R32" s="9">
        <f t="shared" si="4"/>
        <v>3037.61</v>
      </c>
    </row>
    <row r="33">
      <c r="A33" s="39">
        <v>45997.0</v>
      </c>
      <c r="B33" s="4" t="s">
        <v>47</v>
      </c>
      <c r="C33" s="21">
        <v>1.85</v>
      </c>
      <c r="E33" s="19"/>
      <c r="F33" s="5"/>
      <c r="H33" s="19"/>
      <c r="N33" s="39"/>
      <c r="Q33" s="5"/>
      <c r="R33" s="9"/>
    </row>
    <row r="34">
      <c r="A34" s="39">
        <v>45997.0</v>
      </c>
      <c r="B34" s="4" t="s">
        <v>127</v>
      </c>
      <c r="C34" s="21">
        <v>4.55</v>
      </c>
      <c r="E34" s="19"/>
      <c r="F34" s="5"/>
      <c r="H34" s="19"/>
      <c r="Q34" s="5"/>
      <c r="R34" s="9"/>
    </row>
    <row r="35">
      <c r="A35" s="39">
        <v>45998.0</v>
      </c>
      <c r="B35" s="4" t="s">
        <v>57</v>
      </c>
      <c r="C35" s="21">
        <v>2.59</v>
      </c>
      <c r="E35" s="19"/>
      <c r="F35" s="5"/>
      <c r="H35" s="19"/>
      <c r="Q35" s="5"/>
      <c r="R35" s="9"/>
    </row>
    <row r="36">
      <c r="A36" s="39">
        <v>45998.0</v>
      </c>
      <c r="B36" s="4" t="s">
        <v>59</v>
      </c>
      <c r="C36" s="21">
        <v>16.87</v>
      </c>
      <c r="E36" s="19"/>
      <c r="F36" s="5"/>
      <c r="H36" s="19"/>
      <c r="Q36" s="5"/>
      <c r="R36" s="9"/>
    </row>
    <row r="37">
      <c r="A37" s="39">
        <v>45998.0</v>
      </c>
      <c r="B37" s="4" t="s">
        <v>152</v>
      </c>
      <c r="C37" s="21">
        <v>10.0</v>
      </c>
      <c r="E37" s="19"/>
      <c r="F37" s="5"/>
      <c r="H37" s="19"/>
      <c r="Q37" s="5"/>
      <c r="R37" s="9"/>
    </row>
    <row r="38">
      <c r="A38" s="39">
        <v>45999.0</v>
      </c>
      <c r="B38" s="4" t="s">
        <v>93</v>
      </c>
      <c r="C38" s="21">
        <v>15.72</v>
      </c>
      <c r="E38" s="19"/>
      <c r="F38" s="5"/>
      <c r="H38" s="19"/>
      <c r="Q38" s="5"/>
      <c r="R38" s="9"/>
    </row>
    <row r="39">
      <c r="A39" s="39">
        <v>45999.0</v>
      </c>
      <c r="B39" s="4" t="s">
        <v>57</v>
      </c>
      <c r="C39" s="21">
        <v>1.69</v>
      </c>
      <c r="E39" s="19"/>
      <c r="F39" s="5"/>
      <c r="H39" s="19"/>
      <c r="Q39" s="5"/>
      <c r="R39" s="9"/>
    </row>
    <row r="40">
      <c r="A40" s="39">
        <v>46000.0</v>
      </c>
      <c r="B40" s="4" t="s">
        <v>66</v>
      </c>
      <c r="C40" s="21">
        <v>9.5</v>
      </c>
      <c r="E40" s="19"/>
      <c r="F40" s="5"/>
      <c r="H40" s="19"/>
      <c r="Q40" s="5"/>
      <c r="R40" s="9"/>
    </row>
    <row r="41">
      <c r="A41" s="39">
        <v>46001.0</v>
      </c>
      <c r="B41" s="4" t="s">
        <v>47</v>
      </c>
      <c r="C41" s="21">
        <f>6.95+4.95</f>
        <v>11.9</v>
      </c>
      <c r="E41" s="19"/>
      <c r="F41" s="5"/>
      <c r="H41" s="19"/>
      <c r="Q41" s="5"/>
      <c r="R41" s="9"/>
    </row>
    <row r="42">
      <c r="A42" s="39">
        <v>46001.0</v>
      </c>
      <c r="B42" s="4" t="s">
        <v>127</v>
      </c>
      <c r="C42" s="21">
        <v>4.1</v>
      </c>
      <c r="E42" s="19"/>
      <c r="F42" s="5"/>
      <c r="H42" s="19"/>
      <c r="Q42" s="5"/>
      <c r="R42" s="9"/>
    </row>
    <row r="43">
      <c r="A43" s="39">
        <v>46002.0</v>
      </c>
      <c r="B43" s="4" t="s">
        <v>90</v>
      </c>
      <c r="C43" s="21">
        <v>11.0</v>
      </c>
      <c r="E43" s="19"/>
      <c r="F43" s="5"/>
      <c r="H43" s="19"/>
      <c r="Q43" s="5"/>
      <c r="R43" s="9"/>
    </row>
    <row r="44">
      <c r="A44" s="39">
        <v>46002.0</v>
      </c>
      <c r="B44" s="4" t="s">
        <v>59</v>
      </c>
      <c r="C44" s="21">
        <v>11.28</v>
      </c>
      <c r="E44" s="19"/>
      <c r="F44" s="5"/>
      <c r="H44" s="19"/>
      <c r="Q44" s="5"/>
      <c r="R44" s="9"/>
    </row>
    <row r="45">
      <c r="A45" s="39">
        <v>46002.0</v>
      </c>
      <c r="B45" s="4" t="s">
        <v>127</v>
      </c>
      <c r="C45" s="21">
        <v>7.0</v>
      </c>
      <c r="E45" s="19"/>
      <c r="F45" s="5"/>
      <c r="H45" s="19"/>
      <c r="Q45" s="5"/>
      <c r="R45" s="9"/>
    </row>
    <row r="46">
      <c r="A46" s="39">
        <v>46002.0</v>
      </c>
      <c r="B46" s="4" t="s">
        <v>95</v>
      </c>
      <c r="C46" s="21">
        <v>3.98</v>
      </c>
      <c r="E46" s="19"/>
      <c r="F46" s="5"/>
      <c r="H46" s="19"/>
      <c r="Q46" s="5"/>
      <c r="R46" s="9"/>
    </row>
    <row r="47">
      <c r="A47" s="39">
        <v>46003.0</v>
      </c>
      <c r="B47" s="4" t="s">
        <v>59</v>
      </c>
      <c r="C47" s="21">
        <v>5.0</v>
      </c>
      <c r="E47" s="19"/>
      <c r="F47" s="5"/>
      <c r="H47" s="19"/>
      <c r="Q47" s="5"/>
      <c r="R47" s="9"/>
    </row>
    <row r="48">
      <c r="A48" s="39">
        <v>46003.0</v>
      </c>
      <c r="B48" s="4" t="s">
        <v>52</v>
      </c>
      <c r="C48" s="21">
        <v>13.63</v>
      </c>
      <c r="E48" s="19"/>
      <c r="F48" s="5"/>
      <c r="H48" s="19"/>
      <c r="Q48" s="5"/>
      <c r="R48" s="9"/>
    </row>
    <row r="49">
      <c r="A49" s="39">
        <v>46004.0</v>
      </c>
      <c r="B49" s="4" t="s">
        <v>153</v>
      </c>
      <c r="C49" s="21">
        <v>25.0</v>
      </c>
      <c r="E49" s="19"/>
      <c r="F49" s="5"/>
      <c r="H49" s="19"/>
      <c r="Q49" s="5"/>
      <c r="R49" s="9"/>
    </row>
    <row r="50">
      <c r="A50" s="39">
        <v>46004.0</v>
      </c>
      <c r="B50" s="4" t="s">
        <v>66</v>
      </c>
      <c r="C50" s="21">
        <v>10.15</v>
      </c>
      <c r="E50" s="19"/>
      <c r="F50" s="5"/>
      <c r="H50" s="19"/>
      <c r="Q50" s="5"/>
      <c r="R50" s="9"/>
    </row>
    <row r="51">
      <c r="A51" s="39">
        <v>46004.0</v>
      </c>
      <c r="B51" s="4" t="s">
        <v>45</v>
      </c>
      <c r="C51" s="21">
        <f>14.4+16.6+17.7</f>
        <v>48.7</v>
      </c>
      <c r="E51" s="19"/>
      <c r="F51" s="5"/>
      <c r="H51" s="19"/>
      <c r="Q51" s="5"/>
      <c r="R51" s="9"/>
    </row>
    <row r="52">
      <c r="A52" s="39">
        <v>46004.0</v>
      </c>
      <c r="B52" s="4" t="s">
        <v>66</v>
      </c>
      <c r="C52" s="21">
        <v>8.0</v>
      </c>
      <c r="E52" s="19"/>
      <c r="F52" s="5"/>
      <c r="H52" s="19"/>
      <c r="Q52" s="5"/>
      <c r="R52" s="9"/>
    </row>
    <row r="53">
      <c r="A53" s="39">
        <v>46004.0</v>
      </c>
      <c r="B53" s="4" t="s">
        <v>73</v>
      </c>
      <c r="C53" s="21">
        <v>46.96</v>
      </c>
      <c r="E53" s="19"/>
      <c r="F53" s="5"/>
      <c r="H53" s="19"/>
      <c r="Q53" s="5"/>
      <c r="R53" s="9"/>
    </row>
    <row r="54">
      <c r="A54" s="39">
        <v>46004.0</v>
      </c>
      <c r="B54" s="4" t="s">
        <v>127</v>
      </c>
      <c r="C54" s="21">
        <v>6.6</v>
      </c>
      <c r="E54" s="19"/>
      <c r="F54" s="5"/>
      <c r="H54" s="19"/>
      <c r="Q54" s="5"/>
      <c r="R54" s="9"/>
    </row>
    <row r="55">
      <c r="A55" s="39">
        <v>46004.0</v>
      </c>
      <c r="B55" s="4" t="s">
        <v>154</v>
      </c>
      <c r="C55" s="43">
        <v>20.0</v>
      </c>
      <c r="E55" s="19"/>
      <c r="F55" s="5"/>
      <c r="H55" s="19"/>
      <c r="Q55" s="5"/>
      <c r="R55" s="9"/>
    </row>
    <row r="56">
      <c r="A56" s="39">
        <v>46005.0</v>
      </c>
      <c r="B56" s="4" t="s">
        <v>57</v>
      </c>
      <c r="C56" s="21">
        <f>3.93+5</f>
        <v>8.93</v>
      </c>
      <c r="E56" s="19"/>
      <c r="F56" s="5"/>
      <c r="H56" s="19"/>
      <c r="Q56" s="5"/>
      <c r="R56" s="9"/>
    </row>
    <row r="57">
      <c r="A57" s="39">
        <v>46005.0</v>
      </c>
      <c r="B57" s="4" t="s">
        <v>142</v>
      </c>
      <c r="C57" s="21">
        <v>5.99</v>
      </c>
      <c r="E57" s="19"/>
      <c r="F57" s="5"/>
      <c r="H57" s="19"/>
      <c r="Q57" s="5"/>
      <c r="R57" s="9"/>
    </row>
    <row r="58">
      <c r="A58" s="39">
        <v>46007.0</v>
      </c>
      <c r="B58" s="4" t="s">
        <v>47</v>
      </c>
      <c r="C58" s="21">
        <v>22.48</v>
      </c>
      <c r="E58" s="19"/>
      <c r="F58" s="5"/>
      <c r="H58" s="19"/>
      <c r="Q58" s="5"/>
      <c r="R58" s="9"/>
    </row>
    <row r="59">
      <c r="A59" s="39">
        <v>46007.0</v>
      </c>
      <c r="B59" s="4" t="s">
        <v>59</v>
      </c>
      <c r="C59" s="21">
        <v>9.15</v>
      </c>
      <c r="E59" s="19"/>
      <c r="F59" s="5"/>
      <c r="H59" s="19"/>
      <c r="Q59" s="5"/>
      <c r="R59" s="9"/>
    </row>
    <row r="60">
      <c r="A60" s="39">
        <v>46008.0</v>
      </c>
      <c r="B60" s="4" t="s">
        <v>66</v>
      </c>
      <c r="C60" s="21">
        <v>18.8</v>
      </c>
      <c r="E60" s="19"/>
      <c r="F60" s="5"/>
      <c r="H60" s="19"/>
      <c r="Q60" s="5"/>
      <c r="R60" s="9"/>
    </row>
    <row r="61">
      <c r="A61" s="39">
        <v>46009.0</v>
      </c>
      <c r="B61" s="4" t="s">
        <v>100</v>
      </c>
      <c r="C61" s="21">
        <f>1.99+3.49</f>
        <v>5.48</v>
      </c>
      <c r="E61" s="19"/>
      <c r="F61" s="5"/>
      <c r="H61" s="19"/>
      <c r="Q61" s="5"/>
      <c r="R61" s="9"/>
    </row>
    <row r="62">
      <c r="A62" s="39">
        <v>46009.0</v>
      </c>
      <c r="B62" s="4" t="s">
        <v>95</v>
      </c>
      <c r="C62" s="21">
        <v>3.98</v>
      </c>
      <c r="E62" s="19"/>
      <c r="F62" s="5"/>
      <c r="H62" s="19"/>
      <c r="Q62" s="5"/>
      <c r="R62" s="9"/>
    </row>
    <row r="63">
      <c r="A63" s="39">
        <v>46009.0</v>
      </c>
      <c r="B63" s="4" t="s">
        <v>90</v>
      </c>
      <c r="C63" s="21">
        <v>9.45</v>
      </c>
      <c r="E63" s="19"/>
      <c r="F63" s="5"/>
      <c r="H63" s="19"/>
      <c r="Q63" s="5"/>
      <c r="R63" s="9"/>
    </row>
    <row r="64">
      <c r="A64" s="39">
        <v>46009.0</v>
      </c>
      <c r="B64" s="4" t="s">
        <v>127</v>
      </c>
      <c r="C64" s="21">
        <v>7.0</v>
      </c>
      <c r="E64" s="19"/>
      <c r="F64" s="5"/>
      <c r="H64" s="19"/>
      <c r="Q64" s="5"/>
      <c r="R64" s="9"/>
    </row>
    <row r="65">
      <c r="A65" s="39">
        <v>46010.0</v>
      </c>
      <c r="B65" s="4" t="s">
        <v>57</v>
      </c>
      <c r="C65" s="21">
        <v>2.4</v>
      </c>
      <c r="E65" s="19"/>
      <c r="F65" s="5"/>
      <c r="H65" s="19"/>
      <c r="Q65" s="5"/>
      <c r="R65" s="9"/>
    </row>
    <row r="66">
      <c r="A66" s="39">
        <v>46010.0</v>
      </c>
      <c r="B66" s="4" t="s">
        <v>155</v>
      </c>
      <c r="C66" s="21">
        <v>55.0</v>
      </c>
      <c r="E66" s="19"/>
      <c r="F66" s="5"/>
      <c r="H66" s="19"/>
      <c r="Q66" s="5"/>
      <c r="R66" s="9"/>
    </row>
    <row r="67">
      <c r="A67" s="39">
        <v>46011.0</v>
      </c>
      <c r="B67" s="4" t="s">
        <v>93</v>
      </c>
      <c r="C67" s="21">
        <v>27.0</v>
      </c>
      <c r="E67" s="19"/>
      <c r="F67" s="5"/>
      <c r="H67" s="19"/>
      <c r="Q67" s="5"/>
      <c r="R67" s="9"/>
    </row>
    <row r="68">
      <c r="A68" s="39">
        <v>46011.0</v>
      </c>
      <c r="B68" s="4" t="s">
        <v>45</v>
      </c>
      <c r="C68" s="21">
        <v>13.0</v>
      </c>
      <c r="E68" s="19"/>
      <c r="F68" s="5"/>
      <c r="H68" s="19"/>
      <c r="Q68" s="5"/>
      <c r="R68" s="9"/>
    </row>
    <row r="69">
      <c r="A69" s="39">
        <v>46011.0</v>
      </c>
      <c r="B69" s="4" t="s">
        <v>127</v>
      </c>
      <c r="C69" s="21">
        <v>2.9</v>
      </c>
      <c r="E69" s="19"/>
      <c r="F69" s="5"/>
      <c r="H69" s="19"/>
      <c r="Q69" s="5"/>
      <c r="R69" s="9"/>
    </row>
    <row r="70">
      <c r="A70" s="39">
        <v>46011.0</v>
      </c>
      <c r="B70" s="4" t="s">
        <v>57</v>
      </c>
      <c r="C70" s="21">
        <v>5.2</v>
      </c>
      <c r="E70" s="19"/>
      <c r="F70" s="5"/>
      <c r="H70" s="19"/>
      <c r="Q70" s="5"/>
      <c r="R70" s="9"/>
    </row>
    <row r="71">
      <c r="A71" s="39">
        <v>46011.0</v>
      </c>
      <c r="B71" s="4" t="s">
        <v>73</v>
      </c>
      <c r="C71" s="21">
        <v>4.55</v>
      </c>
      <c r="E71" s="19"/>
      <c r="F71" s="5"/>
      <c r="H71" s="19"/>
      <c r="Q71" s="5"/>
      <c r="R71" s="9"/>
    </row>
    <row r="72">
      <c r="A72" s="39">
        <v>46012.0</v>
      </c>
      <c r="B72" s="4" t="s">
        <v>66</v>
      </c>
      <c r="C72" s="21">
        <v>17.6</v>
      </c>
      <c r="E72" s="19"/>
      <c r="F72" s="5"/>
      <c r="H72" s="19"/>
      <c r="Q72" s="5"/>
      <c r="R72" s="9"/>
    </row>
    <row r="73">
      <c r="A73" s="39">
        <v>46013.0</v>
      </c>
      <c r="B73" s="4" t="s">
        <v>57</v>
      </c>
      <c r="C73" s="21">
        <v>7.53</v>
      </c>
      <c r="E73" s="19"/>
      <c r="F73" s="5"/>
      <c r="H73" s="19"/>
      <c r="Q73" s="5"/>
      <c r="R73" s="9"/>
    </row>
    <row r="74">
      <c r="A74" s="39">
        <v>46014.0</v>
      </c>
      <c r="B74" s="4" t="s">
        <v>156</v>
      </c>
      <c r="C74" s="21">
        <v>20.5</v>
      </c>
      <c r="E74" s="19"/>
      <c r="F74" s="5"/>
      <c r="H74" s="19"/>
      <c r="Q74" s="5"/>
      <c r="R74" s="9"/>
    </row>
    <row r="75">
      <c r="A75" s="39">
        <v>46014.0</v>
      </c>
      <c r="B75" s="4" t="s">
        <v>82</v>
      </c>
      <c r="C75" s="21">
        <v>0.99</v>
      </c>
      <c r="E75" s="19"/>
      <c r="F75" s="5"/>
      <c r="H75" s="19"/>
      <c r="Q75" s="5"/>
      <c r="R75" s="9"/>
    </row>
    <row r="76">
      <c r="A76" s="39">
        <v>46015.0</v>
      </c>
      <c r="B76" s="4" t="s">
        <v>52</v>
      </c>
      <c r="C76" s="21">
        <v>16.04</v>
      </c>
      <c r="E76" s="19"/>
      <c r="F76" s="5"/>
      <c r="H76" s="19"/>
      <c r="Q76" s="5"/>
      <c r="R76" s="9"/>
    </row>
    <row r="77">
      <c r="A77" s="39">
        <v>46016.0</v>
      </c>
      <c r="B77" s="4" t="s">
        <v>84</v>
      </c>
      <c r="C77" s="21">
        <v>9.99</v>
      </c>
      <c r="E77" s="19"/>
      <c r="F77" s="5"/>
      <c r="H77" s="19"/>
      <c r="Q77" s="5"/>
      <c r="R77" s="9"/>
    </row>
    <row r="78">
      <c r="A78" s="39">
        <v>46017.0</v>
      </c>
      <c r="B78" s="4" t="s">
        <v>73</v>
      </c>
      <c r="C78" s="21">
        <v>29.29</v>
      </c>
      <c r="E78" s="19"/>
      <c r="F78" s="5"/>
      <c r="H78" s="19"/>
      <c r="Q78" s="5"/>
      <c r="R78" s="9"/>
    </row>
    <row r="79">
      <c r="A79" s="39">
        <v>46017.0</v>
      </c>
      <c r="B79" s="4" t="s">
        <v>52</v>
      </c>
      <c r="C79" s="21">
        <v>14.25</v>
      </c>
      <c r="E79" s="19"/>
      <c r="F79" s="5"/>
      <c r="H79" s="19"/>
      <c r="Q79" s="5"/>
      <c r="R79" s="9"/>
    </row>
    <row r="80">
      <c r="A80" s="39">
        <v>46019.0</v>
      </c>
      <c r="B80" s="4" t="s">
        <v>47</v>
      </c>
      <c r="C80" s="21">
        <v>21.73</v>
      </c>
      <c r="E80" s="19"/>
      <c r="F80" s="5"/>
      <c r="H80" s="19"/>
      <c r="Q80" s="5"/>
      <c r="R80" s="9"/>
    </row>
    <row r="81">
      <c r="A81" s="39">
        <v>46020.0</v>
      </c>
      <c r="B81" s="4" t="s">
        <v>157</v>
      </c>
      <c r="C81" s="21">
        <f>30.12+8.99+6.42</f>
        <v>45.53</v>
      </c>
      <c r="E81" s="19"/>
      <c r="F81" s="5"/>
      <c r="H81" s="19"/>
      <c r="Q81" s="5"/>
      <c r="R81" s="9"/>
    </row>
    <row r="82">
      <c r="A82" s="39">
        <v>46020.0</v>
      </c>
      <c r="B82" s="4" t="s">
        <v>45</v>
      </c>
      <c r="C82" s="21">
        <v>8.5</v>
      </c>
      <c r="E82" s="19"/>
      <c r="F82" s="5"/>
      <c r="H82" s="19"/>
      <c r="Q82" s="5"/>
      <c r="R82" s="9"/>
    </row>
    <row r="83">
      <c r="A83" s="39">
        <v>46020.0</v>
      </c>
      <c r="B83" s="4" t="s">
        <v>47</v>
      </c>
      <c r="C83" s="21">
        <v>12.0</v>
      </c>
      <c r="E83" s="19"/>
      <c r="F83" s="5"/>
      <c r="H83" s="19"/>
      <c r="Q83" s="5"/>
      <c r="R83" s="9"/>
    </row>
    <row r="84">
      <c r="A84" s="39">
        <v>46021.0</v>
      </c>
      <c r="B84" s="4" t="s">
        <v>131</v>
      </c>
      <c r="C84" s="21">
        <v>11.58</v>
      </c>
      <c r="E84" s="19"/>
      <c r="F84" s="5"/>
      <c r="H84" s="19"/>
      <c r="Q84" s="5"/>
      <c r="R84" s="9"/>
    </row>
    <row r="85">
      <c r="A85" s="39">
        <v>46021.0</v>
      </c>
      <c r="B85" s="4" t="s">
        <v>158</v>
      </c>
      <c r="C85" s="21">
        <v>16.37</v>
      </c>
      <c r="E85" s="19"/>
      <c r="F85" s="5"/>
      <c r="H85" s="19"/>
      <c r="Q85" s="5"/>
      <c r="R85" s="9"/>
    </row>
    <row r="86">
      <c r="A86" s="39">
        <v>46021.0</v>
      </c>
      <c r="B86" s="4" t="s">
        <v>131</v>
      </c>
      <c r="C86" s="21">
        <v>10.99</v>
      </c>
      <c r="E86" s="19"/>
      <c r="F86" s="5"/>
      <c r="H86" s="19"/>
      <c r="Q86" s="5"/>
      <c r="R86" s="9"/>
    </row>
    <row r="87">
      <c r="A87" s="39">
        <v>46022.0</v>
      </c>
      <c r="B87" s="4" t="s">
        <v>45</v>
      </c>
      <c r="C87" s="21">
        <f>6.9+14+5.99</f>
        <v>26.89</v>
      </c>
      <c r="E87" s="19"/>
      <c r="F87" s="5"/>
      <c r="H87" s="19"/>
      <c r="Q87" s="5"/>
      <c r="R87" s="9"/>
    </row>
    <row r="88">
      <c r="A88" s="39">
        <v>46022.0</v>
      </c>
      <c r="B88" s="4" t="s">
        <v>52</v>
      </c>
      <c r="C88" s="21">
        <v>11.95</v>
      </c>
      <c r="E88" s="19"/>
      <c r="F88" s="5"/>
      <c r="H88" s="19"/>
      <c r="Q88" s="5"/>
      <c r="R88" s="9"/>
    </row>
    <row r="89">
      <c r="A89" s="39">
        <v>46022.0</v>
      </c>
      <c r="B89" s="4" t="s">
        <v>56</v>
      </c>
      <c r="C89" s="21">
        <v>6.1</v>
      </c>
      <c r="E89" s="19"/>
      <c r="F89" s="5"/>
      <c r="H89" s="19"/>
      <c r="Q89" s="5"/>
      <c r="R89" s="9"/>
    </row>
    <row r="90">
      <c r="A90" s="39">
        <v>46022.0</v>
      </c>
      <c r="B90" s="4" t="s">
        <v>47</v>
      </c>
      <c r="C90" s="21">
        <v>12.21</v>
      </c>
      <c r="E90" s="19"/>
      <c r="F90" s="5"/>
      <c r="H90" s="19"/>
      <c r="Q90" s="5"/>
      <c r="R90" s="9"/>
    </row>
    <row r="91">
      <c r="A91" s="39">
        <v>46022.0</v>
      </c>
      <c r="B91" s="4" t="s">
        <v>66</v>
      </c>
      <c r="C91" s="21">
        <v>3.78</v>
      </c>
      <c r="E91" s="19"/>
      <c r="F91" s="5"/>
      <c r="H91" s="19"/>
      <c r="Q91" s="5"/>
      <c r="R91" s="9"/>
    </row>
    <row r="92">
      <c r="A92" s="39">
        <v>46022.0</v>
      </c>
      <c r="B92" s="4" t="s">
        <v>73</v>
      </c>
      <c r="C92" s="21">
        <v>46.53</v>
      </c>
      <c r="E92" s="19"/>
      <c r="F92" s="5"/>
      <c r="H92" s="19"/>
      <c r="Q92" s="5"/>
      <c r="R92" s="9"/>
    </row>
    <row r="93">
      <c r="A93" s="39">
        <v>46022.0</v>
      </c>
      <c r="B93" s="4" t="s">
        <v>127</v>
      </c>
      <c r="C93" s="21">
        <v>3.5</v>
      </c>
      <c r="E93" s="19"/>
      <c r="F93" s="5"/>
      <c r="H93" s="19"/>
      <c r="Q93" s="5"/>
      <c r="R93" s="9"/>
    </row>
    <row r="94">
      <c r="A94" s="39">
        <v>46022.0</v>
      </c>
      <c r="B94" s="4" t="s">
        <v>159</v>
      </c>
      <c r="C94" s="21">
        <v>1025.0</v>
      </c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9">
    <cfRule type="expression" dxfId="2" priority="1">
      <formula>SUMPRODUCT(--ISNUMBER(SEARCH(TRANSPOSE($E$1:$E$12), B9)))&gt;0</formula>
    </cfRule>
  </conditionalFormatting>
  <conditionalFormatting sqref="B9">
    <cfRule type="expression" dxfId="2" priority="2">
      <formula>SUMPRODUCT(--ISNUMBER(SEARCH(TRANSPOSE($H$2:$H$3), B9)))&gt;0</formula>
    </cfRule>
  </conditionalFormatting>
  <conditionalFormatting sqref="B9">
    <cfRule type="expression" dxfId="2" priority="3">
      <formula>SUMPRODUCT(--ISNUMBER(SEARCH(TRANSPOSE($K$1:$K$7), B9)))&gt;0</formula>
    </cfRule>
  </conditionalFormatting>
  <conditionalFormatting sqref="B1:B8 B10:B999">
    <cfRule type="expression" dxfId="2" priority="4">
      <formula>SUMPRODUCT(--ISNUMBER(SEARCH(TRANSPOSE($E$1:$E$12), B1)))&gt;0</formula>
    </cfRule>
  </conditionalFormatting>
  <conditionalFormatting sqref="B1:B8 B10:B999">
    <cfRule type="expression" dxfId="2" priority="5">
      <formula>SUMPRODUCT(--ISNUMBER(SEARCH(TRANSPOSE($H$2:$H$3), B1)))&gt;0</formula>
    </cfRule>
  </conditionalFormatting>
  <conditionalFormatting sqref="B1:B8 B10:B999">
    <cfRule type="expression" dxfId="2" priority="6">
      <formula>SUMPRODUCT(--ISNUMBER(SEARCH(TRANSPOSE($K$1:$K$7), B1)))&gt;0</formula>
    </cfRule>
  </conditionalFormatting>
  <conditionalFormatting sqref="V2">
    <cfRule type="cellIs" dxfId="2" priority="7" operator="greaterThan">
      <formula>0</formula>
    </cfRule>
  </conditionalFormatting>
  <conditionalFormatting sqref="V2">
    <cfRule type="cellIs" dxfId="3" priority="8" operator="lessThan">
      <formula>0</formula>
    </cfRule>
  </conditionalFormatting>
  <conditionalFormatting sqref="N1 N33">
    <cfRule type="timePeriod" dxfId="4" priority="9" timePeriod="today"/>
  </conditionalFormatting>
  <conditionalFormatting sqref="N1 N33:N999">
    <cfRule type="timePeriod" dxfId="5" priority="10" timePeriod="today"/>
  </conditionalFormatting>
  <conditionalFormatting sqref="O1:O999 Q1:Q999">
    <cfRule type="cellIs" dxfId="0" priority="11" operator="lessThan">
      <formula>25</formula>
    </cfRule>
  </conditionalFormatting>
  <conditionalFormatting sqref="O1:O999 Q1:Q999">
    <cfRule type="cellIs" dxfId="6" priority="12" operator="lessThan">
      <formula>35</formula>
    </cfRule>
  </conditionalFormatting>
  <conditionalFormatting sqref="O1:O999 Q1:Q999">
    <cfRule type="cellIs" dxfId="1" priority="13" operator="greaterThanOrEqual">
      <formula>35</formula>
    </cfRule>
  </conditionalFormatting>
  <conditionalFormatting sqref="I1">
    <cfRule type="cellIs" dxfId="1" priority="14" operator="lessThan">
      <formula>0</formula>
    </cfRule>
  </conditionalFormatting>
  <conditionalFormatting sqref="I1">
    <cfRule type="cellIs" dxfId="0" priority="15" operator="greaterThan">
      <formula>0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236.75</v>
      </c>
      <c r="G1" s="28"/>
      <c r="H1" s="1" t="s">
        <v>46</v>
      </c>
      <c r="I1" s="5">
        <f>I6-I7</f>
        <v>-214.3966667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79.97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45962.0</v>
      </c>
      <c r="B2" s="4" t="s">
        <v>8</v>
      </c>
      <c r="C2" s="21">
        <v>600.0</v>
      </c>
      <c r="E2" s="1" t="s">
        <v>52</v>
      </c>
      <c r="F2" s="5">
        <f t="shared" si="1"/>
        <v>53.43</v>
      </c>
      <c r="G2" s="28"/>
      <c r="H2" s="1" t="s">
        <v>6</v>
      </c>
      <c r="I2" s="5">
        <f>SUMIF(B:B,H2,C:C)</f>
        <v>600</v>
      </c>
      <c r="K2" s="1" t="s">
        <v>53</v>
      </c>
      <c r="L2" s="5">
        <f t="shared" si="2"/>
        <v>0</v>
      </c>
      <c r="N2" s="39">
        <v>45962.0</v>
      </c>
      <c r="O2" s="5">
        <f>sumif(A:A,N2,C:C)-sum(C2:C4)</f>
        <v>209.5066667</v>
      </c>
      <c r="P2" s="5">
        <f>SUM(O2)</f>
        <v>209.5066667</v>
      </c>
      <c r="Q2" s="5">
        <f t="shared" ref="Q2:Q31" si="3">P2/(ROW()-1)</f>
        <v>209.5066667</v>
      </c>
      <c r="R2" s="9">
        <f t="shared" ref="R2:R31" si="4">count(N:N)*Q2</f>
        <v>6285.2</v>
      </c>
      <c r="T2" s="9"/>
      <c r="U2" s="9"/>
    </row>
    <row r="3">
      <c r="A3" s="39">
        <v>45962.0</v>
      </c>
      <c r="B3" s="4" t="s">
        <v>54</v>
      </c>
      <c r="C3" s="41">
        <f>850+194.46+6.54+50</f>
        <v>1101</v>
      </c>
      <c r="E3" s="1" t="s">
        <v>55</v>
      </c>
      <c r="F3" s="5">
        <f t="shared" si="1"/>
        <v>56.59</v>
      </c>
      <c r="G3" s="28"/>
      <c r="H3" s="1" t="s">
        <v>8</v>
      </c>
      <c r="I3" s="5">
        <f>SUMIF(B:B,H3,C:C)+I1</f>
        <v>385.6033333</v>
      </c>
      <c r="K3" s="1" t="s">
        <v>56</v>
      </c>
      <c r="L3" s="5">
        <f t="shared" si="2"/>
        <v>0</v>
      </c>
      <c r="N3" s="39">
        <v>45963.0</v>
      </c>
      <c r="O3" s="40">
        <f t="shared" ref="O3:O31" si="5">sumif(A:A,N3,C:C)</f>
        <v>29.79</v>
      </c>
      <c r="P3" s="5">
        <f t="shared" ref="P3:P31" si="6">P2+O3</f>
        <v>239.2966667</v>
      </c>
      <c r="Q3" s="5">
        <f t="shared" si="3"/>
        <v>119.6483333</v>
      </c>
      <c r="R3" s="9">
        <f t="shared" si="4"/>
        <v>3589.45</v>
      </c>
    </row>
    <row r="4">
      <c r="A4" s="39">
        <v>45962.0</v>
      </c>
      <c r="B4" s="4" t="s">
        <v>6</v>
      </c>
      <c r="C4" s="21">
        <v>600.0</v>
      </c>
      <c r="E4" s="1" t="s">
        <v>57</v>
      </c>
      <c r="F4" s="5">
        <f>SUMIF(B:B,"*"&amp;E4&amp;"*",C:C)+SUM(L1:L7)</f>
        <v>189.89</v>
      </c>
      <c r="G4" s="28"/>
      <c r="H4" s="1" t="s">
        <v>58</v>
      </c>
      <c r="I4" s="5">
        <f>I2+I3</f>
        <v>985.6033333</v>
      </c>
      <c r="K4" s="1" t="s">
        <v>59</v>
      </c>
      <c r="L4" s="5">
        <f t="shared" si="2"/>
        <v>6.19</v>
      </c>
      <c r="N4" s="39">
        <v>45964.0</v>
      </c>
      <c r="O4" s="40">
        <f t="shared" si="5"/>
        <v>51.4</v>
      </c>
      <c r="P4" s="5">
        <f t="shared" si="6"/>
        <v>290.6966667</v>
      </c>
      <c r="Q4" s="5">
        <f t="shared" si="3"/>
        <v>96.89888889</v>
      </c>
      <c r="R4" s="9">
        <f t="shared" si="4"/>
        <v>2906.966667</v>
      </c>
    </row>
    <row r="5">
      <c r="A5" s="39">
        <v>45962.0</v>
      </c>
      <c r="B5" s="4" t="s">
        <v>63</v>
      </c>
      <c r="C5" s="21">
        <v>7.0</v>
      </c>
      <c r="E5" s="42" t="s">
        <v>61</v>
      </c>
      <c r="F5" s="5">
        <f t="shared" ref="F5:F12" si="7">SUMIF(B:B,"*"&amp;E5&amp;"*",C:C)</f>
        <v>78.26333333</v>
      </c>
      <c r="G5" s="28"/>
      <c r="K5" s="1" t="s">
        <v>62</v>
      </c>
      <c r="L5" s="5">
        <f t="shared" si="2"/>
        <v>1.2</v>
      </c>
      <c r="N5" s="39">
        <v>45965.0</v>
      </c>
      <c r="O5" s="40">
        <f t="shared" si="5"/>
        <v>14.54</v>
      </c>
      <c r="P5" s="5">
        <f t="shared" si="6"/>
        <v>305.2366667</v>
      </c>
      <c r="Q5" s="5">
        <f t="shared" si="3"/>
        <v>76.30916667</v>
      </c>
      <c r="R5" s="9">
        <f t="shared" si="4"/>
        <v>2289.275</v>
      </c>
    </row>
    <row r="6">
      <c r="A6" s="39">
        <v>45962.0</v>
      </c>
      <c r="B6" s="4" t="s">
        <v>67</v>
      </c>
      <c r="C6" s="21">
        <v>21.99</v>
      </c>
      <c r="E6" s="1" t="s">
        <v>64</v>
      </c>
      <c r="F6" s="5">
        <f t="shared" si="7"/>
        <v>36.51</v>
      </c>
      <c r="G6" s="28"/>
      <c r="H6" s="1" t="s">
        <v>65</v>
      </c>
      <c r="I6" s="21">
        <v>3229.64</v>
      </c>
      <c r="K6" s="1" t="s">
        <v>66</v>
      </c>
      <c r="L6" s="5">
        <f t="shared" si="2"/>
        <v>94.2</v>
      </c>
      <c r="N6" s="39">
        <v>45966.0</v>
      </c>
      <c r="O6" s="40">
        <f t="shared" si="5"/>
        <v>44.43</v>
      </c>
      <c r="P6" s="5">
        <f t="shared" si="6"/>
        <v>349.6666667</v>
      </c>
      <c r="Q6" s="5">
        <f t="shared" si="3"/>
        <v>69.93333333</v>
      </c>
      <c r="R6" s="9">
        <f t="shared" si="4"/>
        <v>2098</v>
      </c>
    </row>
    <row r="7">
      <c r="A7" s="39">
        <v>45962.0</v>
      </c>
      <c r="B7" s="4" t="s">
        <v>70</v>
      </c>
      <c r="C7" s="21">
        <f>109/12</f>
        <v>9.083333333</v>
      </c>
      <c r="E7" s="1" t="s">
        <v>54</v>
      </c>
      <c r="F7" s="5">
        <f t="shared" si="7"/>
        <v>1108</v>
      </c>
      <c r="G7" s="28"/>
      <c r="H7" s="1" t="s">
        <v>68</v>
      </c>
      <c r="I7" s="5">
        <f>sum(C:C)</f>
        <v>3444.036667</v>
      </c>
      <c r="K7" s="1" t="s">
        <v>69</v>
      </c>
      <c r="L7" s="5">
        <f t="shared" si="2"/>
        <v>4.48</v>
      </c>
      <c r="N7" s="39">
        <v>45967.0</v>
      </c>
      <c r="O7" s="40">
        <f t="shared" si="5"/>
        <v>15.43</v>
      </c>
      <c r="P7" s="5">
        <f t="shared" si="6"/>
        <v>365.0966667</v>
      </c>
      <c r="Q7" s="5">
        <f t="shared" si="3"/>
        <v>60.84944444</v>
      </c>
      <c r="R7" s="9">
        <f t="shared" si="4"/>
        <v>1825.483333</v>
      </c>
    </row>
    <row r="8">
      <c r="A8" s="39">
        <v>45962.0</v>
      </c>
      <c r="B8" s="4" t="s">
        <v>146</v>
      </c>
      <c r="C8" s="21">
        <f>(257.15/6)*4</f>
        <v>171.4333333</v>
      </c>
      <c r="E8" s="1" t="s">
        <v>127</v>
      </c>
      <c r="F8" s="5">
        <f t="shared" si="7"/>
        <v>54.85</v>
      </c>
      <c r="G8" s="28"/>
      <c r="H8" s="1" t="s">
        <v>72</v>
      </c>
      <c r="I8" s="5">
        <f>sum(F:F)+I2+C2</f>
        <v>3046.063333</v>
      </c>
      <c r="N8" s="39">
        <v>45968.0</v>
      </c>
      <c r="O8" s="40">
        <f t="shared" si="5"/>
        <v>103.78</v>
      </c>
      <c r="P8" s="5">
        <f t="shared" si="6"/>
        <v>468.8766667</v>
      </c>
      <c r="Q8" s="5">
        <f t="shared" si="3"/>
        <v>66.98238095</v>
      </c>
      <c r="R8" s="9">
        <f t="shared" si="4"/>
        <v>2009.471429</v>
      </c>
    </row>
    <row r="9">
      <c r="A9" s="39">
        <v>45963.0</v>
      </c>
      <c r="B9" s="4" t="s">
        <v>47</v>
      </c>
      <c r="C9" s="21">
        <v>4.6</v>
      </c>
      <c r="E9" s="1" t="s">
        <v>73</v>
      </c>
      <c r="F9" s="5">
        <f t="shared" si="7"/>
        <v>0</v>
      </c>
      <c r="G9" s="28"/>
      <c r="H9" s="1" t="s">
        <v>74</v>
      </c>
      <c r="I9" s="5">
        <f>I7-I8</f>
        <v>397.9733333</v>
      </c>
      <c r="N9" s="39">
        <v>45969.0</v>
      </c>
      <c r="O9" s="40">
        <f t="shared" si="5"/>
        <v>88.05</v>
      </c>
      <c r="P9" s="5">
        <f t="shared" si="6"/>
        <v>556.9266667</v>
      </c>
      <c r="Q9" s="5">
        <f t="shared" si="3"/>
        <v>69.61583333</v>
      </c>
      <c r="R9" s="9">
        <f t="shared" si="4"/>
        <v>2088.475</v>
      </c>
    </row>
    <row r="10">
      <c r="A10" s="39">
        <v>45963.0</v>
      </c>
      <c r="B10" s="4" t="s">
        <v>100</v>
      </c>
      <c r="C10" s="21">
        <f>2.39+14</f>
        <v>16.39</v>
      </c>
      <c r="E10" s="1" t="s">
        <v>75</v>
      </c>
      <c r="F10" s="5">
        <f t="shared" si="7"/>
        <v>21.99</v>
      </c>
      <c r="G10" s="28"/>
      <c r="N10" s="39">
        <v>45970.0</v>
      </c>
      <c r="O10" s="40">
        <f t="shared" si="5"/>
        <v>0</v>
      </c>
      <c r="P10" s="5">
        <f t="shared" si="6"/>
        <v>556.9266667</v>
      </c>
      <c r="Q10" s="5">
        <f t="shared" si="3"/>
        <v>61.88074074</v>
      </c>
      <c r="R10" s="9">
        <f t="shared" si="4"/>
        <v>1856.422222</v>
      </c>
    </row>
    <row r="11">
      <c r="A11" s="39">
        <v>45963.0</v>
      </c>
      <c r="B11" s="4" t="s">
        <v>76</v>
      </c>
      <c r="C11" s="21">
        <v>8.8</v>
      </c>
      <c r="E11" s="1" t="s">
        <v>76</v>
      </c>
      <c r="F11" s="5">
        <f t="shared" si="7"/>
        <v>9.79</v>
      </c>
      <c r="G11" s="28"/>
      <c r="H11" s="1" t="s">
        <v>3</v>
      </c>
      <c r="I11" s="28">
        <f>I4/I6</f>
        <v>0.3051743641</v>
      </c>
      <c r="N11" s="39">
        <v>45971.0</v>
      </c>
      <c r="O11" s="40">
        <f t="shared" si="5"/>
        <v>9.99</v>
      </c>
      <c r="P11" s="5">
        <f t="shared" si="6"/>
        <v>566.9166667</v>
      </c>
      <c r="Q11" s="5">
        <f t="shared" si="3"/>
        <v>56.69166667</v>
      </c>
      <c r="R11" s="9">
        <f t="shared" si="4"/>
        <v>1700.75</v>
      </c>
    </row>
    <row r="12">
      <c r="A12" s="39">
        <v>45964.0</v>
      </c>
      <c r="B12" s="4" t="s">
        <v>110</v>
      </c>
      <c r="C12" s="21">
        <v>41.0</v>
      </c>
      <c r="E12" s="1" t="s">
        <v>77</v>
      </c>
      <c r="F12" s="5">
        <f t="shared" si="7"/>
        <v>0</v>
      </c>
      <c r="G12" s="28"/>
      <c r="N12" s="39">
        <v>45972.0</v>
      </c>
      <c r="O12" s="40">
        <f t="shared" si="5"/>
        <v>15.92</v>
      </c>
      <c r="P12" s="5">
        <f t="shared" si="6"/>
        <v>582.8366667</v>
      </c>
      <c r="Q12" s="5">
        <f t="shared" si="3"/>
        <v>52.98515152</v>
      </c>
      <c r="R12" s="9">
        <f t="shared" si="4"/>
        <v>1589.554545</v>
      </c>
    </row>
    <row r="13">
      <c r="A13" s="39">
        <v>45964.0</v>
      </c>
      <c r="B13" s="4" t="s">
        <v>66</v>
      </c>
      <c r="C13" s="21">
        <v>10.4</v>
      </c>
      <c r="E13" s="1"/>
      <c r="F13" s="5"/>
      <c r="N13" s="39">
        <v>45973.0</v>
      </c>
      <c r="O13" s="40">
        <f t="shared" si="5"/>
        <v>15.48</v>
      </c>
      <c r="P13" s="5">
        <f t="shared" si="6"/>
        <v>598.3166667</v>
      </c>
      <c r="Q13" s="5">
        <f t="shared" si="3"/>
        <v>49.85972222</v>
      </c>
      <c r="R13" s="9">
        <f t="shared" si="4"/>
        <v>1495.791667</v>
      </c>
    </row>
    <row r="14">
      <c r="A14" s="39">
        <v>45965.0</v>
      </c>
      <c r="B14" s="4" t="s">
        <v>47</v>
      </c>
      <c r="C14" s="21">
        <v>5.44</v>
      </c>
      <c r="E14" s="1"/>
      <c r="F14" s="5"/>
      <c r="H14" s="19"/>
      <c r="N14" s="39">
        <v>45974.0</v>
      </c>
      <c r="O14" s="40">
        <f t="shared" si="5"/>
        <v>17.91</v>
      </c>
      <c r="P14" s="5">
        <f t="shared" si="6"/>
        <v>616.2266667</v>
      </c>
      <c r="Q14" s="5">
        <f t="shared" si="3"/>
        <v>47.40205128</v>
      </c>
      <c r="R14" s="9">
        <f t="shared" si="4"/>
        <v>1422.061538</v>
      </c>
    </row>
    <row r="15">
      <c r="A15" s="39">
        <v>45965.0</v>
      </c>
      <c r="B15" s="4" t="s">
        <v>59</v>
      </c>
      <c r="C15" s="21">
        <v>5.0</v>
      </c>
      <c r="E15" s="1"/>
      <c r="H15" s="1"/>
      <c r="N15" s="39">
        <v>45975.0</v>
      </c>
      <c r="O15" s="40">
        <f t="shared" si="5"/>
        <v>101.95</v>
      </c>
      <c r="P15" s="5">
        <f t="shared" si="6"/>
        <v>718.1766667</v>
      </c>
      <c r="Q15" s="5">
        <f t="shared" si="3"/>
        <v>51.29833333</v>
      </c>
      <c r="R15" s="9">
        <f t="shared" si="4"/>
        <v>1538.95</v>
      </c>
    </row>
    <row r="16">
      <c r="A16" s="39">
        <v>45965.0</v>
      </c>
      <c r="B16" s="4" t="s">
        <v>127</v>
      </c>
      <c r="C16" s="21">
        <v>4.1</v>
      </c>
      <c r="H16" s="19"/>
      <c r="N16" s="39">
        <v>45976.0</v>
      </c>
      <c r="O16" s="40">
        <f t="shared" si="5"/>
        <v>24.15</v>
      </c>
      <c r="P16" s="5">
        <f t="shared" si="6"/>
        <v>742.3266667</v>
      </c>
      <c r="Q16" s="5">
        <f t="shared" si="3"/>
        <v>49.48844444</v>
      </c>
      <c r="R16" s="9">
        <f t="shared" si="4"/>
        <v>1484.653333</v>
      </c>
    </row>
    <row r="17">
      <c r="A17" s="39">
        <v>45966.0</v>
      </c>
      <c r="B17" s="4" t="s">
        <v>160</v>
      </c>
      <c r="C17" s="21">
        <v>30.0</v>
      </c>
      <c r="H17" s="19"/>
      <c r="N17" s="39">
        <v>45977.0</v>
      </c>
      <c r="O17" s="40">
        <f t="shared" si="5"/>
        <v>46.19</v>
      </c>
      <c r="P17" s="5">
        <f t="shared" si="6"/>
        <v>788.5166667</v>
      </c>
      <c r="Q17" s="5">
        <f t="shared" si="3"/>
        <v>49.28229167</v>
      </c>
      <c r="R17" s="9">
        <f t="shared" si="4"/>
        <v>1478.46875</v>
      </c>
    </row>
    <row r="18">
      <c r="A18" s="39">
        <v>45966.0</v>
      </c>
      <c r="B18" s="4" t="s">
        <v>138</v>
      </c>
      <c r="C18" s="21">
        <v>4.98</v>
      </c>
      <c r="H18" s="19"/>
      <c r="N18" s="39">
        <v>45978.0</v>
      </c>
      <c r="O18" s="40">
        <f t="shared" si="5"/>
        <v>36.51</v>
      </c>
      <c r="P18" s="5">
        <f t="shared" si="6"/>
        <v>825.0266667</v>
      </c>
      <c r="Q18" s="5">
        <f t="shared" si="3"/>
        <v>48.53098039</v>
      </c>
      <c r="R18" s="9">
        <f t="shared" si="4"/>
        <v>1455.929412</v>
      </c>
    </row>
    <row r="19">
      <c r="A19" s="39">
        <v>45966.0</v>
      </c>
      <c r="B19" s="4" t="s">
        <v>52</v>
      </c>
      <c r="C19" s="21">
        <v>9.45</v>
      </c>
      <c r="H19" s="19"/>
      <c r="N19" s="39">
        <v>45979.0</v>
      </c>
      <c r="O19" s="40">
        <f t="shared" si="5"/>
        <v>32.83</v>
      </c>
      <c r="P19" s="5">
        <f t="shared" si="6"/>
        <v>857.8566667</v>
      </c>
      <c r="Q19" s="5">
        <f t="shared" si="3"/>
        <v>47.6587037</v>
      </c>
      <c r="R19" s="9">
        <f t="shared" si="4"/>
        <v>1429.761111</v>
      </c>
    </row>
    <row r="20">
      <c r="A20" s="39">
        <v>45967.0</v>
      </c>
      <c r="B20" s="4" t="s">
        <v>47</v>
      </c>
      <c r="C20" s="21">
        <v>14.24</v>
      </c>
      <c r="H20" s="19"/>
      <c r="N20" s="39">
        <v>45980.0</v>
      </c>
      <c r="O20" s="40">
        <f t="shared" si="5"/>
        <v>10.59</v>
      </c>
      <c r="P20" s="5">
        <f t="shared" si="6"/>
        <v>868.4466667</v>
      </c>
      <c r="Q20" s="5">
        <f t="shared" si="3"/>
        <v>45.7077193</v>
      </c>
      <c r="R20" s="9">
        <f t="shared" si="4"/>
        <v>1371.231579</v>
      </c>
    </row>
    <row r="21">
      <c r="A21" s="39">
        <v>45967.0</v>
      </c>
      <c r="B21" s="4" t="s">
        <v>59</v>
      </c>
      <c r="C21" s="21">
        <v>1.19</v>
      </c>
      <c r="E21" s="19"/>
      <c r="F21" s="5"/>
      <c r="H21" s="19"/>
      <c r="N21" s="39">
        <v>45981.0</v>
      </c>
      <c r="O21" s="40">
        <f t="shared" si="5"/>
        <v>20.4</v>
      </c>
      <c r="P21" s="5">
        <f t="shared" si="6"/>
        <v>888.8466667</v>
      </c>
      <c r="Q21" s="5">
        <f t="shared" si="3"/>
        <v>44.44233333</v>
      </c>
      <c r="R21" s="9">
        <f t="shared" si="4"/>
        <v>1333.27</v>
      </c>
    </row>
    <row r="22">
      <c r="A22" s="39">
        <v>45968.0</v>
      </c>
      <c r="B22" s="4" t="s">
        <v>62</v>
      </c>
      <c r="C22" s="21">
        <v>1.2</v>
      </c>
      <c r="E22" s="19"/>
      <c r="F22" s="5"/>
      <c r="H22" s="19"/>
      <c r="N22" s="39">
        <v>45982.0</v>
      </c>
      <c r="O22" s="40">
        <f t="shared" si="5"/>
        <v>38.6</v>
      </c>
      <c r="P22" s="5">
        <f t="shared" si="6"/>
        <v>927.4466667</v>
      </c>
      <c r="Q22" s="5">
        <f t="shared" si="3"/>
        <v>44.16412698</v>
      </c>
      <c r="R22" s="9">
        <f t="shared" si="4"/>
        <v>1324.92381</v>
      </c>
    </row>
    <row r="23">
      <c r="A23" s="39">
        <v>45968.0</v>
      </c>
      <c r="B23" s="4" t="s">
        <v>76</v>
      </c>
      <c r="C23" s="21">
        <v>0.99</v>
      </c>
      <c r="E23" s="19"/>
      <c r="F23" s="5"/>
      <c r="H23" s="19"/>
      <c r="N23" s="39">
        <v>45983.0</v>
      </c>
      <c r="O23" s="40">
        <f t="shared" si="5"/>
        <v>22.82</v>
      </c>
      <c r="P23" s="5">
        <f t="shared" si="6"/>
        <v>950.2666667</v>
      </c>
      <c r="Q23" s="5">
        <f t="shared" si="3"/>
        <v>43.19393939</v>
      </c>
      <c r="R23" s="9">
        <f t="shared" si="4"/>
        <v>1295.818182</v>
      </c>
    </row>
    <row r="24">
      <c r="A24" s="39">
        <v>45968.0</v>
      </c>
      <c r="B24" s="4" t="s">
        <v>90</v>
      </c>
      <c r="C24" s="21">
        <v>13.0</v>
      </c>
      <c r="F24" s="5"/>
      <c r="H24" s="19"/>
      <c r="N24" s="39">
        <v>45984.0</v>
      </c>
      <c r="O24" s="40">
        <f t="shared" si="5"/>
        <v>34.2</v>
      </c>
      <c r="P24" s="5">
        <f t="shared" si="6"/>
        <v>984.4666667</v>
      </c>
      <c r="Q24" s="5">
        <f t="shared" si="3"/>
        <v>42.80289855</v>
      </c>
      <c r="R24" s="9">
        <f t="shared" si="4"/>
        <v>1284.086957</v>
      </c>
    </row>
    <row r="25">
      <c r="A25" s="39">
        <v>45968.0</v>
      </c>
      <c r="B25" s="4" t="s">
        <v>84</v>
      </c>
      <c r="C25" s="21">
        <f>7+10.99</f>
        <v>17.99</v>
      </c>
      <c r="F25" s="5"/>
      <c r="H25" s="19"/>
      <c r="N25" s="39">
        <v>45985.0</v>
      </c>
      <c r="O25" s="40">
        <f t="shared" si="5"/>
        <v>26.67</v>
      </c>
      <c r="P25" s="5">
        <f t="shared" si="6"/>
        <v>1011.136667</v>
      </c>
      <c r="Q25" s="5">
        <f t="shared" si="3"/>
        <v>42.13069444</v>
      </c>
      <c r="R25" s="9">
        <f t="shared" si="4"/>
        <v>1263.920833</v>
      </c>
    </row>
    <row r="26">
      <c r="A26" s="39">
        <v>45968.0</v>
      </c>
      <c r="B26" s="4" t="s">
        <v>143</v>
      </c>
      <c r="C26" s="21">
        <v>33.0</v>
      </c>
      <c r="F26" s="5"/>
      <c r="H26" s="19"/>
      <c r="N26" s="39">
        <v>45986.0</v>
      </c>
      <c r="O26" s="40">
        <f t="shared" si="5"/>
        <v>0</v>
      </c>
      <c r="P26" s="5">
        <f t="shared" si="6"/>
        <v>1011.136667</v>
      </c>
      <c r="Q26" s="5">
        <f t="shared" si="3"/>
        <v>40.44546667</v>
      </c>
      <c r="R26" s="9">
        <f t="shared" si="4"/>
        <v>1213.364</v>
      </c>
    </row>
    <row r="27">
      <c r="A27" s="39">
        <v>45968.0</v>
      </c>
      <c r="B27" s="4" t="s">
        <v>45</v>
      </c>
      <c r="C27" s="21">
        <f>3.5+12.8+14.9</f>
        <v>31.2</v>
      </c>
      <c r="F27" s="5"/>
      <c r="H27" s="19"/>
      <c r="N27" s="39">
        <v>45987.0</v>
      </c>
      <c r="O27" s="40">
        <f t="shared" si="5"/>
        <v>10.22</v>
      </c>
      <c r="P27" s="5">
        <f t="shared" si="6"/>
        <v>1021.356667</v>
      </c>
      <c r="Q27" s="5">
        <f t="shared" si="3"/>
        <v>39.28294872</v>
      </c>
      <c r="R27" s="9">
        <f t="shared" si="4"/>
        <v>1178.488462</v>
      </c>
    </row>
    <row r="28">
      <c r="A28" s="39">
        <v>45968.0</v>
      </c>
      <c r="B28" s="4" t="s">
        <v>127</v>
      </c>
      <c r="C28" s="21">
        <v>6.4</v>
      </c>
      <c r="F28" s="5"/>
      <c r="H28" s="19"/>
      <c r="N28" s="39">
        <v>45988.0</v>
      </c>
      <c r="O28" s="40">
        <f t="shared" si="5"/>
        <v>10.38</v>
      </c>
      <c r="P28" s="5">
        <f t="shared" si="6"/>
        <v>1031.736667</v>
      </c>
      <c r="Q28" s="5">
        <f t="shared" si="3"/>
        <v>38.21246914</v>
      </c>
      <c r="R28" s="9">
        <f t="shared" si="4"/>
        <v>1146.374074</v>
      </c>
    </row>
    <row r="29">
      <c r="A29" s="39">
        <v>45969.0</v>
      </c>
      <c r="B29" s="4" t="s">
        <v>45</v>
      </c>
      <c r="C29" s="21">
        <f>12.2+14.1</f>
        <v>26.3</v>
      </c>
      <c r="F29" s="5"/>
      <c r="H29" s="19"/>
      <c r="N29" s="39">
        <v>45989.0</v>
      </c>
      <c r="O29" s="40">
        <f t="shared" si="5"/>
        <v>63.85</v>
      </c>
      <c r="P29" s="5">
        <f t="shared" si="6"/>
        <v>1095.586667</v>
      </c>
      <c r="Q29" s="5">
        <f t="shared" si="3"/>
        <v>39.12809524</v>
      </c>
      <c r="R29" s="9">
        <f t="shared" si="4"/>
        <v>1173.842857</v>
      </c>
    </row>
    <row r="30">
      <c r="A30" s="39">
        <v>45969.0</v>
      </c>
      <c r="B30" s="4" t="s">
        <v>127</v>
      </c>
      <c r="C30" s="21">
        <v>8.3</v>
      </c>
      <c r="F30" s="5"/>
      <c r="H30" s="19"/>
      <c r="N30" s="39">
        <v>45990.0</v>
      </c>
      <c r="O30" s="40">
        <f t="shared" si="5"/>
        <v>29.95</v>
      </c>
      <c r="P30" s="5">
        <f t="shared" si="6"/>
        <v>1125.536667</v>
      </c>
      <c r="Q30" s="5">
        <f t="shared" si="3"/>
        <v>38.8116092</v>
      </c>
      <c r="R30" s="9">
        <f t="shared" si="4"/>
        <v>1164.348276</v>
      </c>
    </row>
    <row r="31">
      <c r="A31" s="39">
        <v>45969.0</v>
      </c>
      <c r="B31" s="4" t="s">
        <v>66</v>
      </c>
      <c r="C31" s="21">
        <v>6.45</v>
      </c>
      <c r="E31" s="19"/>
      <c r="F31" s="5"/>
      <c r="H31" s="19"/>
      <c r="N31" s="39">
        <v>45991.0</v>
      </c>
      <c r="O31" s="40">
        <f t="shared" si="5"/>
        <v>17.5</v>
      </c>
      <c r="P31" s="5">
        <f t="shared" si="6"/>
        <v>1143.036667</v>
      </c>
      <c r="Q31" s="5">
        <f t="shared" si="3"/>
        <v>38.10122222</v>
      </c>
      <c r="R31" s="9">
        <f t="shared" si="4"/>
        <v>1143.036667</v>
      </c>
    </row>
    <row r="32">
      <c r="A32" s="39">
        <v>45969.0</v>
      </c>
      <c r="B32" s="4" t="s">
        <v>143</v>
      </c>
      <c r="C32" s="21">
        <v>47.0</v>
      </c>
      <c r="E32" s="19"/>
      <c r="F32" s="5"/>
      <c r="H32" s="19"/>
      <c r="N32" s="39"/>
      <c r="Q32" s="5"/>
      <c r="R32" s="9"/>
    </row>
    <row r="33">
      <c r="A33" s="39">
        <v>45971.0</v>
      </c>
      <c r="B33" s="4" t="s">
        <v>161</v>
      </c>
      <c r="C33" s="21">
        <v>9.99</v>
      </c>
      <c r="E33" s="19"/>
      <c r="F33" s="5"/>
      <c r="H33" s="19"/>
      <c r="N33" s="39"/>
      <c r="Q33" s="5"/>
      <c r="R33" s="9"/>
    </row>
    <row r="34">
      <c r="A34" s="39">
        <v>45972.0</v>
      </c>
      <c r="B34" s="4" t="s">
        <v>47</v>
      </c>
      <c r="C34" s="21">
        <v>15.92</v>
      </c>
      <c r="E34" s="19"/>
      <c r="F34" s="5"/>
      <c r="H34" s="19"/>
      <c r="Q34" s="5"/>
      <c r="R34" s="9"/>
    </row>
    <row r="35">
      <c r="A35" s="39">
        <v>45973.0</v>
      </c>
      <c r="B35" s="4" t="s">
        <v>100</v>
      </c>
      <c r="C35" s="21">
        <v>11.38</v>
      </c>
      <c r="E35" s="19"/>
      <c r="F35" s="5"/>
      <c r="H35" s="19"/>
      <c r="Q35" s="5"/>
      <c r="R35" s="9"/>
    </row>
    <row r="36">
      <c r="A36" s="39">
        <v>45973.0</v>
      </c>
      <c r="B36" s="4" t="s">
        <v>127</v>
      </c>
      <c r="C36" s="21">
        <v>4.1</v>
      </c>
      <c r="E36" s="19"/>
      <c r="F36" s="5"/>
      <c r="H36" s="19"/>
      <c r="Q36" s="5"/>
      <c r="R36" s="9"/>
    </row>
    <row r="37">
      <c r="A37" s="39">
        <v>45974.0</v>
      </c>
      <c r="B37" s="4" t="s">
        <v>95</v>
      </c>
      <c r="C37" s="21">
        <v>3.98</v>
      </c>
      <c r="E37" s="19"/>
      <c r="F37" s="5"/>
      <c r="H37" s="19"/>
      <c r="Q37" s="5"/>
      <c r="R37" s="9"/>
    </row>
    <row r="38">
      <c r="A38" s="39">
        <v>45974.0</v>
      </c>
      <c r="B38" s="4" t="s">
        <v>90</v>
      </c>
      <c r="C38" s="21">
        <v>9.45</v>
      </c>
      <c r="E38" s="19"/>
      <c r="F38" s="5"/>
      <c r="H38" s="19"/>
      <c r="Q38" s="5"/>
      <c r="R38" s="9"/>
    </row>
    <row r="39">
      <c r="A39" s="39">
        <v>45974.0</v>
      </c>
      <c r="B39" s="4" t="s">
        <v>69</v>
      </c>
      <c r="C39" s="21">
        <v>4.48</v>
      </c>
      <c r="E39" s="19"/>
      <c r="F39" s="5"/>
      <c r="H39" s="19"/>
      <c r="Q39" s="5"/>
      <c r="R39" s="9"/>
    </row>
    <row r="40">
      <c r="A40" s="39">
        <v>45975.0</v>
      </c>
      <c r="B40" s="4" t="s">
        <v>45</v>
      </c>
      <c r="C40" s="21">
        <f>6.1+18.3+40+18.5</f>
        <v>82.9</v>
      </c>
      <c r="E40" s="19"/>
      <c r="F40" s="5"/>
      <c r="H40" s="19"/>
      <c r="Q40" s="5"/>
      <c r="R40" s="9"/>
    </row>
    <row r="41">
      <c r="A41" s="39">
        <v>45975.0</v>
      </c>
      <c r="B41" s="4" t="s">
        <v>127</v>
      </c>
      <c r="C41" s="21">
        <f>5.7+1.75</f>
        <v>7.45</v>
      </c>
      <c r="E41" s="19"/>
      <c r="F41" s="5"/>
      <c r="H41" s="19"/>
      <c r="Q41" s="5"/>
      <c r="R41" s="9"/>
    </row>
    <row r="42">
      <c r="A42" s="39">
        <v>45975.0</v>
      </c>
      <c r="B42" s="4" t="s">
        <v>66</v>
      </c>
      <c r="C42" s="21">
        <f>5.35+6.25</f>
        <v>11.6</v>
      </c>
      <c r="E42" s="19"/>
      <c r="F42" s="5"/>
      <c r="H42" s="19"/>
      <c r="Q42" s="5"/>
      <c r="R42" s="9"/>
    </row>
    <row r="43">
      <c r="A43" s="39">
        <v>45976.0</v>
      </c>
      <c r="B43" s="4" t="s">
        <v>100</v>
      </c>
      <c r="C43" s="21">
        <v>4.0</v>
      </c>
      <c r="E43" s="19"/>
      <c r="F43" s="5"/>
      <c r="H43" s="19"/>
      <c r="Q43" s="5"/>
      <c r="R43" s="9"/>
    </row>
    <row r="44">
      <c r="A44" s="39">
        <v>45976.0</v>
      </c>
      <c r="B44" s="4" t="s">
        <v>66</v>
      </c>
      <c r="C44" s="21">
        <v>17.4</v>
      </c>
      <c r="E44" s="19"/>
      <c r="F44" s="5"/>
      <c r="H44" s="19"/>
      <c r="Q44" s="5"/>
      <c r="R44" s="9"/>
    </row>
    <row r="45">
      <c r="A45" s="39">
        <v>45976.0</v>
      </c>
      <c r="B45" s="4" t="s">
        <v>100</v>
      </c>
      <c r="C45" s="21">
        <v>2.75</v>
      </c>
      <c r="E45" s="19"/>
      <c r="F45" s="5"/>
      <c r="H45" s="19"/>
      <c r="Q45" s="5"/>
      <c r="R45" s="9"/>
    </row>
    <row r="46">
      <c r="A46" s="39">
        <v>45977.0</v>
      </c>
      <c r="B46" s="4" t="s">
        <v>124</v>
      </c>
      <c r="C46" s="21">
        <v>5.0</v>
      </c>
      <c r="E46" s="19"/>
      <c r="F46" s="5"/>
      <c r="H46" s="19"/>
      <c r="Q46" s="5"/>
      <c r="R46" s="9"/>
    </row>
    <row r="47">
      <c r="A47" s="39">
        <v>45977.0</v>
      </c>
      <c r="B47" s="4" t="s">
        <v>52</v>
      </c>
      <c r="C47" s="21">
        <v>4.79</v>
      </c>
      <c r="E47" s="19"/>
      <c r="F47" s="5"/>
      <c r="H47" s="19"/>
      <c r="Q47" s="5"/>
      <c r="R47" s="9"/>
    </row>
    <row r="48">
      <c r="A48" s="39">
        <v>45977.0</v>
      </c>
      <c r="B48" s="4" t="s">
        <v>45</v>
      </c>
      <c r="C48" s="21">
        <v>7.0</v>
      </c>
      <c r="E48" s="19"/>
      <c r="F48" s="5"/>
      <c r="H48" s="19"/>
      <c r="Q48" s="5"/>
      <c r="R48" s="9"/>
    </row>
    <row r="49">
      <c r="A49" s="39">
        <v>45977.0</v>
      </c>
      <c r="B49" s="4" t="s">
        <v>84</v>
      </c>
      <c r="C49" s="21">
        <v>10.0</v>
      </c>
      <c r="E49" s="19"/>
      <c r="F49" s="5"/>
      <c r="H49" s="19"/>
      <c r="Q49" s="5"/>
      <c r="R49" s="9"/>
    </row>
    <row r="50">
      <c r="A50" s="39">
        <v>45977.0</v>
      </c>
      <c r="B50" s="4" t="s">
        <v>66</v>
      </c>
      <c r="C50" s="21">
        <v>6.5</v>
      </c>
      <c r="E50" s="19"/>
      <c r="F50" s="5"/>
      <c r="H50" s="19"/>
      <c r="Q50" s="5"/>
      <c r="R50" s="9"/>
    </row>
    <row r="51">
      <c r="A51" s="39">
        <v>45977.0</v>
      </c>
      <c r="B51" s="4" t="s">
        <v>45</v>
      </c>
      <c r="C51" s="21">
        <v>5.9</v>
      </c>
      <c r="E51" s="19"/>
      <c r="F51" s="5"/>
      <c r="H51" s="19"/>
      <c r="Q51" s="5"/>
      <c r="R51" s="9"/>
    </row>
    <row r="52">
      <c r="A52" s="39">
        <v>45977.0</v>
      </c>
      <c r="B52" s="4" t="s">
        <v>52</v>
      </c>
      <c r="C52" s="21">
        <v>7.0</v>
      </c>
      <c r="E52" s="19"/>
      <c r="F52" s="5"/>
      <c r="H52" s="19"/>
      <c r="Q52" s="5"/>
      <c r="R52" s="9"/>
    </row>
    <row r="53">
      <c r="A53" s="39">
        <v>45978.0</v>
      </c>
      <c r="B53" s="4" t="s">
        <v>162</v>
      </c>
      <c r="C53" s="21">
        <v>36.51</v>
      </c>
      <c r="E53" s="19"/>
      <c r="F53" s="5"/>
      <c r="H53" s="19"/>
      <c r="Q53" s="5"/>
      <c r="R53" s="9"/>
    </row>
    <row r="54">
      <c r="A54" s="39">
        <v>45979.0</v>
      </c>
      <c r="B54" s="4" t="s">
        <v>95</v>
      </c>
      <c r="C54" s="21">
        <v>3.98</v>
      </c>
      <c r="E54" s="19"/>
      <c r="F54" s="5"/>
      <c r="H54" s="19"/>
      <c r="Q54" s="5"/>
      <c r="R54" s="9"/>
    </row>
    <row r="55">
      <c r="A55" s="39">
        <v>45979.0</v>
      </c>
      <c r="B55" s="4" t="s">
        <v>90</v>
      </c>
      <c r="C55" s="21">
        <v>12.25</v>
      </c>
      <c r="E55" s="19"/>
      <c r="F55" s="5"/>
      <c r="H55" s="19"/>
      <c r="Q55" s="5"/>
      <c r="R55" s="9"/>
    </row>
    <row r="56">
      <c r="A56" s="39">
        <v>45979.0</v>
      </c>
      <c r="B56" s="4" t="s">
        <v>47</v>
      </c>
      <c r="C56" s="43">
        <v>4.6</v>
      </c>
      <c r="E56" s="19"/>
      <c r="F56" s="5"/>
      <c r="H56" s="19"/>
      <c r="Q56" s="5"/>
      <c r="R56" s="9"/>
    </row>
    <row r="57">
      <c r="A57" s="39">
        <v>45979.0</v>
      </c>
      <c r="B57" s="4" t="s">
        <v>127</v>
      </c>
      <c r="C57" s="21">
        <v>7.0</v>
      </c>
      <c r="E57" s="19"/>
      <c r="F57" s="5"/>
      <c r="H57" s="19"/>
      <c r="Q57" s="5"/>
      <c r="R57" s="9"/>
    </row>
    <row r="58">
      <c r="A58" s="39">
        <v>45979.0</v>
      </c>
      <c r="B58" s="4" t="s">
        <v>108</v>
      </c>
      <c r="C58" s="21">
        <v>5.0</v>
      </c>
      <c r="E58" s="19"/>
      <c r="F58" s="5"/>
      <c r="H58" s="19"/>
      <c r="Q58" s="5"/>
      <c r="R58" s="9"/>
    </row>
    <row r="59">
      <c r="A59" s="39">
        <v>45980.0</v>
      </c>
      <c r="B59" s="4" t="s">
        <v>52</v>
      </c>
      <c r="C59" s="21">
        <v>6.49</v>
      </c>
      <c r="E59" s="19"/>
      <c r="F59" s="5"/>
      <c r="H59" s="19"/>
      <c r="Q59" s="5"/>
      <c r="R59" s="9"/>
    </row>
    <row r="60">
      <c r="A60" s="39">
        <v>45980.0</v>
      </c>
      <c r="B60" s="4" t="s">
        <v>163</v>
      </c>
      <c r="C60" s="21">
        <v>4.1</v>
      </c>
      <c r="E60" s="19"/>
      <c r="F60" s="5"/>
      <c r="H60" s="19"/>
      <c r="Q60" s="5"/>
      <c r="R60" s="9"/>
    </row>
    <row r="61">
      <c r="A61" s="39">
        <v>45981.0</v>
      </c>
      <c r="B61" s="4" t="s">
        <v>163</v>
      </c>
      <c r="C61" s="21">
        <v>2.9</v>
      </c>
      <c r="E61" s="19"/>
      <c r="F61" s="5"/>
      <c r="H61" s="19"/>
      <c r="Q61" s="5"/>
      <c r="R61" s="9"/>
    </row>
    <row r="62">
      <c r="A62" s="39">
        <v>45981.0</v>
      </c>
      <c r="B62" s="4" t="s">
        <v>45</v>
      </c>
      <c r="C62" s="21">
        <v>17.5</v>
      </c>
      <c r="E62" s="19"/>
      <c r="F62" s="5"/>
      <c r="H62" s="19"/>
      <c r="Q62" s="5"/>
      <c r="R62" s="9"/>
    </row>
    <row r="63">
      <c r="A63" s="39">
        <v>45982.0</v>
      </c>
      <c r="B63" s="4" t="s">
        <v>57</v>
      </c>
      <c r="C63" s="21">
        <v>3.85</v>
      </c>
      <c r="E63" s="19"/>
      <c r="F63" s="5"/>
      <c r="H63" s="19"/>
      <c r="Q63" s="5"/>
      <c r="R63" s="9"/>
    </row>
    <row r="64">
      <c r="A64" s="39">
        <v>45982.0</v>
      </c>
      <c r="B64" s="4" t="s">
        <v>45</v>
      </c>
      <c r="C64" s="21">
        <v>14.0</v>
      </c>
      <c r="E64" s="19"/>
      <c r="F64" s="5"/>
      <c r="H64" s="19"/>
      <c r="Q64" s="5"/>
      <c r="R64" s="9"/>
    </row>
    <row r="65">
      <c r="A65" s="39">
        <v>45982.0</v>
      </c>
      <c r="B65" s="4" t="s">
        <v>131</v>
      </c>
      <c r="C65" s="21">
        <f>(43.5-14)/2</f>
        <v>14.75</v>
      </c>
      <c r="E65" s="19"/>
      <c r="F65" s="5"/>
      <c r="H65" s="19"/>
      <c r="Q65" s="5"/>
      <c r="R65" s="9"/>
    </row>
    <row r="66">
      <c r="A66" s="39">
        <v>45982.0</v>
      </c>
      <c r="B66" s="4" t="s">
        <v>52</v>
      </c>
      <c r="C66" s="21">
        <v>6.0</v>
      </c>
      <c r="E66" s="19"/>
      <c r="F66" s="5"/>
      <c r="H66" s="19"/>
      <c r="Q66" s="5"/>
      <c r="R66" s="9"/>
    </row>
    <row r="67">
      <c r="A67" s="39">
        <v>45983.0</v>
      </c>
      <c r="B67" s="4" t="s">
        <v>164</v>
      </c>
      <c r="C67" s="21">
        <v>22.82</v>
      </c>
      <c r="E67" s="19"/>
      <c r="F67" s="5"/>
      <c r="H67" s="19"/>
      <c r="Q67" s="5"/>
      <c r="R67" s="9"/>
    </row>
    <row r="68">
      <c r="A68" s="39">
        <v>45984.0</v>
      </c>
      <c r="B68" s="4" t="s">
        <v>95</v>
      </c>
      <c r="C68" s="21">
        <v>9.95</v>
      </c>
      <c r="E68" s="19"/>
      <c r="F68" s="5"/>
      <c r="H68" s="19"/>
      <c r="Q68" s="5"/>
      <c r="R68" s="9"/>
    </row>
    <row r="69">
      <c r="A69" s="39">
        <v>45984.0</v>
      </c>
      <c r="B69" s="4" t="s">
        <v>100</v>
      </c>
      <c r="C69" s="21">
        <v>4.55</v>
      </c>
      <c r="E69" s="19"/>
      <c r="F69" s="5"/>
      <c r="H69" s="19"/>
      <c r="Q69" s="5"/>
      <c r="R69" s="9"/>
    </row>
    <row r="70">
      <c r="A70" s="39">
        <v>45984.0</v>
      </c>
      <c r="B70" s="4" t="s">
        <v>52</v>
      </c>
      <c r="C70" s="21">
        <v>19.7</v>
      </c>
      <c r="E70" s="19"/>
      <c r="F70" s="5"/>
      <c r="H70" s="19"/>
      <c r="Q70" s="5"/>
      <c r="R70" s="9"/>
    </row>
    <row r="71">
      <c r="A71" s="39">
        <v>45985.0</v>
      </c>
      <c r="B71" s="4" t="s">
        <v>47</v>
      </c>
      <c r="C71" s="21">
        <f>35.17-8.5</f>
        <v>26.67</v>
      </c>
      <c r="E71" s="19"/>
      <c r="F71" s="5"/>
      <c r="H71" s="19"/>
      <c r="Q71" s="5"/>
      <c r="R71" s="9"/>
    </row>
    <row r="72">
      <c r="A72" s="39">
        <v>45987.0</v>
      </c>
      <c r="B72" s="4" t="s">
        <v>100</v>
      </c>
      <c r="C72" s="21">
        <v>6.12</v>
      </c>
      <c r="E72" s="19"/>
      <c r="F72" s="5"/>
      <c r="H72" s="19"/>
      <c r="Q72" s="5"/>
      <c r="R72" s="9"/>
    </row>
    <row r="73">
      <c r="A73" s="39">
        <v>45987.0</v>
      </c>
      <c r="B73" s="4" t="s">
        <v>127</v>
      </c>
      <c r="C73" s="21">
        <v>4.1</v>
      </c>
      <c r="E73" s="19"/>
      <c r="F73" s="5"/>
      <c r="H73" s="19"/>
      <c r="Q73" s="5"/>
      <c r="R73" s="9"/>
    </row>
    <row r="74">
      <c r="A74" s="39">
        <v>45988.0</v>
      </c>
      <c r="B74" s="4" t="s">
        <v>95</v>
      </c>
      <c r="C74" s="21">
        <v>3.98</v>
      </c>
      <c r="E74" s="19"/>
      <c r="F74" s="5"/>
      <c r="H74" s="19"/>
      <c r="Q74" s="5"/>
      <c r="R74" s="9"/>
    </row>
    <row r="75">
      <c r="A75" s="39">
        <v>45988.0</v>
      </c>
      <c r="B75" s="4" t="s">
        <v>127</v>
      </c>
      <c r="C75" s="21">
        <v>6.4</v>
      </c>
      <c r="E75" s="19"/>
      <c r="F75" s="5"/>
      <c r="H75" s="19"/>
      <c r="Q75" s="5"/>
      <c r="R75" s="9"/>
    </row>
    <row r="76">
      <c r="A76" s="39">
        <v>45989.0</v>
      </c>
      <c r="B76" s="4" t="s">
        <v>45</v>
      </c>
      <c r="C76" s="21">
        <v>28.0</v>
      </c>
      <c r="E76" s="19"/>
      <c r="F76" s="5"/>
      <c r="H76" s="19"/>
      <c r="Q76" s="5"/>
      <c r="R76" s="9"/>
    </row>
    <row r="77">
      <c r="A77" s="39">
        <v>45989.0</v>
      </c>
      <c r="B77" s="4" t="s">
        <v>66</v>
      </c>
      <c r="C77" s="21">
        <v>11.9</v>
      </c>
      <c r="E77" s="19"/>
      <c r="F77" s="5"/>
      <c r="H77" s="19"/>
      <c r="Q77" s="5"/>
      <c r="R77" s="9"/>
    </row>
    <row r="78">
      <c r="A78" s="39">
        <v>45989.0</v>
      </c>
      <c r="B78" s="4" t="s">
        <v>45</v>
      </c>
      <c r="C78" s="21">
        <v>23.95</v>
      </c>
      <c r="E78" s="19"/>
      <c r="F78" s="5"/>
      <c r="H78" s="19"/>
      <c r="Q78" s="5"/>
      <c r="R78" s="9"/>
    </row>
    <row r="79">
      <c r="A79" s="39">
        <v>45990.0</v>
      </c>
      <c r="B79" s="4" t="s">
        <v>66</v>
      </c>
      <c r="C79" s="21">
        <v>29.95</v>
      </c>
      <c r="E79" s="19"/>
      <c r="F79" s="5"/>
      <c r="H79" s="19"/>
      <c r="Q79" s="5"/>
      <c r="R79" s="9"/>
    </row>
    <row r="80">
      <c r="A80" s="39">
        <v>45991.0</v>
      </c>
      <c r="B80" s="4" t="s">
        <v>47</v>
      </c>
      <c r="C80" s="21">
        <v>8.5</v>
      </c>
      <c r="E80" s="19"/>
      <c r="F80" s="5"/>
      <c r="H80" s="19"/>
      <c r="Q80" s="5"/>
      <c r="R80" s="9"/>
    </row>
    <row r="81">
      <c r="A81" s="39">
        <v>45991.0</v>
      </c>
      <c r="B81" s="4" t="s">
        <v>124</v>
      </c>
      <c r="C81" s="21">
        <v>9.0</v>
      </c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</cols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75.13</v>
      </c>
      <c r="G1" s="28"/>
      <c r="H1" s="1" t="s">
        <v>46</v>
      </c>
      <c r="I1" s="5">
        <f>I6-I7</f>
        <v>-3185.333333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30.49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45931.0</v>
      </c>
      <c r="B2" s="4" t="s">
        <v>8</v>
      </c>
      <c r="C2" s="21">
        <v>0.0</v>
      </c>
      <c r="E2" s="1" t="s">
        <v>52</v>
      </c>
      <c r="F2" s="5">
        <f t="shared" si="1"/>
        <v>41.77</v>
      </c>
      <c r="G2" s="28"/>
      <c r="H2" s="1" t="s">
        <v>6</v>
      </c>
      <c r="I2" s="5">
        <f>SUMIF(B:B,H2,C:C)</f>
        <v>1000</v>
      </c>
      <c r="K2" s="1" t="s">
        <v>53</v>
      </c>
      <c r="L2" s="5">
        <f t="shared" si="2"/>
        <v>0</v>
      </c>
      <c r="N2" s="39">
        <v>45931.0</v>
      </c>
      <c r="O2" s="5">
        <f>sumif(A:A,N2,C:C)-sum(C2:C4)</f>
        <v>76.16333333</v>
      </c>
      <c r="P2" s="5">
        <f>SUM(O2)</f>
        <v>76.16333333</v>
      </c>
      <c r="Q2" s="5">
        <f t="shared" ref="Q2:Q32" si="3">P2/(ROW()-1)</f>
        <v>76.16333333</v>
      </c>
      <c r="R2" s="9">
        <f t="shared" ref="R2:R32" si="4">count(N:N)*Q2</f>
        <v>2361.063333</v>
      </c>
      <c r="T2" s="9"/>
      <c r="U2" s="9"/>
    </row>
    <row r="3">
      <c r="A3" s="39">
        <v>45931.0</v>
      </c>
      <c r="B3" s="4" t="s">
        <v>54</v>
      </c>
      <c r="C3" s="41">
        <f>850+185.58+50</f>
        <v>1085.58</v>
      </c>
      <c r="E3" s="1" t="s">
        <v>55</v>
      </c>
      <c r="F3" s="5">
        <f t="shared" si="1"/>
        <v>144.69</v>
      </c>
      <c r="G3" s="28"/>
      <c r="H3" s="1" t="s">
        <v>8</v>
      </c>
      <c r="I3" s="5">
        <f>SUMIF(B:B,H3,C:C)+I1</f>
        <v>-3185.333333</v>
      </c>
      <c r="K3" s="1" t="s">
        <v>56</v>
      </c>
      <c r="L3" s="5">
        <f t="shared" si="2"/>
        <v>0</v>
      </c>
      <c r="N3" s="39">
        <v>45932.0</v>
      </c>
      <c r="O3" s="40">
        <f t="shared" ref="O3:O32" si="5">sumif(A:A,N3,C:C)</f>
        <v>12.71</v>
      </c>
      <c r="P3" s="5">
        <f t="shared" ref="P3:P32" si="6">P2+O3</f>
        <v>88.87333333</v>
      </c>
      <c r="Q3" s="5">
        <f t="shared" si="3"/>
        <v>44.43666667</v>
      </c>
      <c r="R3" s="9">
        <f t="shared" si="4"/>
        <v>1377.536667</v>
      </c>
    </row>
    <row r="4">
      <c r="A4" s="39">
        <v>45931.0</v>
      </c>
      <c r="B4" s="4" t="s">
        <v>6</v>
      </c>
      <c r="C4" s="21">
        <v>1000.0</v>
      </c>
      <c r="E4" s="1" t="s">
        <v>57</v>
      </c>
      <c r="F4" s="5">
        <f>SUMIF(B:B,"*"&amp;E4&amp;"*",C:C)+SUM(L1:L7)</f>
        <v>184.78</v>
      </c>
      <c r="G4" s="28"/>
      <c r="H4" s="1" t="s">
        <v>58</v>
      </c>
      <c r="I4" s="5">
        <f>I2+I3</f>
        <v>-2185.333333</v>
      </c>
      <c r="K4" s="1" t="s">
        <v>59</v>
      </c>
      <c r="L4" s="5">
        <f t="shared" si="2"/>
        <v>23.06</v>
      </c>
      <c r="N4" s="39">
        <v>45933.0</v>
      </c>
      <c r="O4" s="40">
        <f t="shared" si="5"/>
        <v>12.14</v>
      </c>
      <c r="P4" s="5">
        <f t="shared" si="6"/>
        <v>101.0133333</v>
      </c>
      <c r="Q4" s="5">
        <f t="shared" si="3"/>
        <v>33.67111111</v>
      </c>
      <c r="R4" s="9">
        <f t="shared" si="4"/>
        <v>1043.804444</v>
      </c>
    </row>
    <row r="5">
      <c r="A5" s="39">
        <v>45931.0</v>
      </c>
      <c r="B5" s="4" t="s">
        <v>63</v>
      </c>
      <c r="C5" s="21">
        <v>7.0</v>
      </c>
      <c r="E5" s="42" t="s">
        <v>61</v>
      </c>
      <c r="F5" s="5">
        <f t="shared" ref="F5:F12" si="7">SUMIF(B:B,"*"&amp;E5&amp;"*",C:C)</f>
        <v>43.93333333</v>
      </c>
      <c r="G5" s="28"/>
      <c r="K5" s="1" t="s">
        <v>62</v>
      </c>
      <c r="L5" s="5">
        <f t="shared" si="2"/>
        <v>0</v>
      </c>
      <c r="N5" s="39">
        <v>45934.0</v>
      </c>
      <c r="O5" s="40">
        <f t="shared" si="5"/>
        <v>54.73</v>
      </c>
      <c r="P5" s="5">
        <f t="shared" si="6"/>
        <v>155.7433333</v>
      </c>
      <c r="Q5" s="5">
        <f t="shared" si="3"/>
        <v>38.93583333</v>
      </c>
      <c r="R5" s="9">
        <f t="shared" si="4"/>
        <v>1207.010833</v>
      </c>
    </row>
    <row r="6">
      <c r="A6" s="39">
        <v>45931.0</v>
      </c>
      <c r="B6" s="4" t="s">
        <v>67</v>
      </c>
      <c r="C6" s="21">
        <v>21.99</v>
      </c>
      <c r="E6" s="1" t="s">
        <v>64</v>
      </c>
      <c r="F6" s="5">
        <f t="shared" si="7"/>
        <v>319.78</v>
      </c>
      <c r="G6" s="28"/>
      <c r="H6" s="1" t="s">
        <v>65</v>
      </c>
      <c r="I6" s="21">
        <v>3229.63</v>
      </c>
      <c r="K6" s="1" t="s">
        <v>66</v>
      </c>
      <c r="L6" s="5">
        <f t="shared" si="2"/>
        <v>30.11</v>
      </c>
      <c r="N6" s="39">
        <v>45935.0</v>
      </c>
      <c r="O6" s="40">
        <f t="shared" si="5"/>
        <v>128.75</v>
      </c>
      <c r="P6" s="5">
        <f t="shared" si="6"/>
        <v>284.4933333</v>
      </c>
      <c r="Q6" s="5">
        <f t="shared" si="3"/>
        <v>56.89866667</v>
      </c>
      <c r="R6" s="9">
        <f t="shared" si="4"/>
        <v>1763.858667</v>
      </c>
    </row>
    <row r="7">
      <c r="A7" s="39">
        <v>45931.0</v>
      </c>
      <c r="B7" s="4" t="s">
        <v>70</v>
      </c>
      <c r="C7" s="21">
        <f>109/12</f>
        <v>9.083333333</v>
      </c>
      <c r="E7" s="1" t="s">
        <v>54</v>
      </c>
      <c r="F7" s="5">
        <f t="shared" si="7"/>
        <v>1092.58</v>
      </c>
      <c r="G7" s="28"/>
      <c r="H7" s="1" t="s">
        <v>68</v>
      </c>
      <c r="I7" s="5">
        <f>sum(C:C)</f>
        <v>6414.963333</v>
      </c>
      <c r="K7" s="1" t="s">
        <v>69</v>
      </c>
      <c r="L7" s="5">
        <f t="shared" si="2"/>
        <v>0</v>
      </c>
      <c r="N7" s="39">
        <v>45936.0</v>
      </c>
      <c r="O7" s="40">
        <f t="shared" si="5"/>
        <v>15</v>
      </c>
      <c r="P7" s="5">
        <f t="shared" si="6"/>
        <v>299.4933333</v>
      </c>
      <c r="Q7" s="5">
        <f t="shared" si="3"/>
        <v>49.91555556</v>
      </c>
      <c r="R7" s="9">
        <f t="shared" si="4"/>
        <v>1547.382222</v>
      </c>
    </row>
    <row r="8">
      <c r="A8" s="39">
        <v>45931.0</v>
      </c>
      <c r="B8" s="4" t="s">
        <v>165</v>
      </c>
      <c r="C8" s="21">
        <v>14.62</v>
      </c>
      <c r="E8" s="1" t="s">
        <v>127</v>
      </c>
      <c r="F8" s="5">
        <f t="shared" si="7"/>
        <v>24.5</v>
      </c>
      <c r="G8" s="28"/>
      <c r="H8" s="1" t="s">
        <v>72</v>
      </c>
      <c r="I8" s="5">
        <f>sum(F:F)+I2+C2</f>
        <v>6274.273333</v>
      </c>
      <c r="N8" s="39">
        <v>45937.0</v>
      </c>
      <c r="O8" s="40">
        <f t="shared" si="5"/>
        <v>6.26</v>
      </c>
      <c r="P8" s="5">
        <f t="shared" si="6"/>
        <v>305.7533333</v>
      </c>
      <c r="Q8" s="5">
        <f t="shared" si="3"/>
        <v>43.67904762</v>
      </c>
      <c r="R8" s="9">
        <f t="shared" si="4"/>
        <v>1354.050476</v>
      </c>
    </row>
    <row r="9">
      <c r="A9" s="39">
        <v>45931.0</v>
      </c>
      <c r="B9" s="4" t="s">
        <v>95</v>
      </c>
      <c r="C9" s="21">
        <v>3.98</v>
      </c>
      <c r="E9" s="1" t="s">
        <v>73</v>
      </c>
      <c r="F9" s="5">
        <f t="shared" si="7"/>
        <v>67.49</v>
      </c>
      <c r="G9" s="28"/>
      <c r="H9" s="1" t="s">
        <v>74</v>
      </c>
      <c r="I9" s="5">
        <f>I7-I8</f>
        <v>140.69</v>
      </c>
      <c r="N9" s="39">
        <v>45938.0</v>
      </c>
      <c r="O9" s="40">
        <f t="shared" si="5"/>
        <v>30.49</v>
      </c>
      <c r="P9" s="5">
        <f t="shared" si="6"/>
        <v>336.2433333</v>
      </c>
      <c r="Q9" s="5">
        <f t="shared" si="3"/>
        <v>42.03041667</v>
      </c>
      <c r="R9" s="9">
        <f t="shared" si="4"/>
        <v>1302.942917</v>
      </c>
    </row>
    <row r="10">
      <c r="A10" s="39">
        <v>45931.0</v>
      </c>
      <c r="B10" s="4" t="s">
        <v>90</v>
      </c>
      <c r="C10" s="21">
        <v>12.49</v>
      </c>
      <c r="E10" s="1" t="s">
        <v>75</v>
      </c>
      <c r="F10" s="5">
        <f t="shared" si="7"/>
        <v>21.99</v>
      </c>
      <c r="G10" s="28"/>
      <c r="N10" s="39">
        <v>45939.0</v>
      </c>
      <c r="O10" s="40">
        <f t="shared" si="5"/>
        <v>74.89</v>
      </c>
      <c r="P10" s="5">
        <f t="shared" si="6"/>
        <v>411.1333333</v>
      </c>
      <c r="Q10" s="5">
        <f t="shared" si="3"/>
        <v>45.68148148</v>
      </c>
      <c r="R10" s="9">
        <f t="shared" si="4"/>
        <v>1416.125926</v>
      </c>
    </row>
    <row r="11">
      <c r="A11" s="39">
        <v>45931.0</v>
      </c>
      <c r="B11" s="4" t="s">
        <v>127</v>
      </c>
      <c r="C11" s="21">
        <v>7.0</v>
      </c>
      <c r="E11" s="1" t="s">
        <v>76</v>
      </c>
      <c r="F11" s="5">
        <f t="shared" si="7"/>
        <v>5.98</v>
      </c>
      <c r="G11" s="28"/>
      <c r="H11" s="1" t="s">
        <v>3</v>
      </c>
      <c r="I11" s="28">
        <f>I4/I6</f>
        <v>-0.6766512985</v>
      </c>
      <c r="N11" s="39">
        <v>45940.0</v>
      </c>
      <c r="O11" s="40">
        <f t="shared" si="5"/>
        <v>24.97</v>
      </c>
      <c r="P11" s="5">
        <f t="shared" si="6"/>
        <v>436.1033333</v>
      </c>
      <c r="Q11" s="5">
        <f t="shared" si="3"/>
        <v>43.61033333</v>
      </c>
      <c r="R11" s="9">
        <f t="shared" si="4"/>
        <v>1351.920333</v>
      </c>
    </row>
    <row r="12">
      <c r="A12" s="39">
        <v>45932.0</v>
      </c>
      <c r="B12" s="4" t="s">
        <v>59</v>
      </c>
      <c r="C12" s="21">
        <v>9.71</v>
      </c>
      <c r="E12" s="1" t="s">
        <v>77</v>
      </c>
      <c r="F12" s="5">
        <f t="shared" si="7"/>
        <v>3251.65</v>
      </c>
      <c r="G12" s="28"/>
      <c r="N12" s="39">
        <v>45941.0</v>
      </c>
      <c r="O12" s="40">
        <f t="shared" si="5"/>
        <v>77.46</v>
      </c>
      <c r="P12" s="5">
        <f t="shared" si="6"/>
        <v>513.5633333</v>
      </c>
      <c r="Q12" s="5">
        <f t="shared" si="3"/>
        <v>46.68757576</v>
      </c>
      <c r="R12" s="9">
        <f t="shared" si="4"/>
        <v>1447.314848</v>
      </c>
    </row>
    <row r="13">
      <c r="A13" s="39">
        <v>45932.0</v>
      </c>
      <c r="B13" s="4" t="s">
        <v>66</v>
      </c>
      <c r="C13" s="21">
        <v>3.0</v>
      </c>
      <c r="E13" s="1"/>
      <c r="F13" s="5"/>
      <c r="N13" s="39">
        <v>45942.0</v>
      </c>
      <c r="O13" s="40">
        <f t="shared" si="5"/>
        <v>19.65</v>
      </c>
      <c r="P13" s="5">
        <f t="shared" si="6"/>
        <v>533.2133333</v>
      </c>
      <c r="Q13" s="5">
        <f t="shared" si="3"/>
        <v>44.43444444</v>
      </c>
      <c r="R13" s="9">
        <f t="shared" si="4"/>
        <v>1377.467778</v>
      </c>
    </row>
    <row r="14">
      <c r="A14" s="39">
        <v>45933.0</v>
      </c>
      <c r="B14" s="4" t="s">
        <v>100</v>
      </c>
      <c r="C14" s="21">
        <v>4.28</v>
      </c>
      <c r="E14" s="1"/>
      <c r="F14" s="5"/>
      <c r="H14" s="19"/>
      <c r="N14" s="39">
        <v>45943.0</v>
      </c>
      <c r="O14" s="40">
        <f t="shared" si="5"/>
        <v>56.1</v>
      </c>
      <c r="P14" s="5">
        <f t="shared" si="6"/>
        <v>589.3133333</v>
      </c>
      <c r="Q14" s="5">
        <f t="shared" si="3"/>
        <v>45.33179487</v>
      </c>
      <c r="R14" s="9">
        <f t="shared" si="4"/>
        <v>1405.285641</v>
      </c>
    </row>
    <row r="15">
      <c r="A15" s="39">
        <v>45933.0</v>
      </c>
      <c r="B15" s="4" t="s">
        <v>138</v>
      </c>
      <c r="C15" s="21">
        <v>4.61</v>
      </c>
      <c r="E15" s="1"/>
      <c r="H15" s="1"/>
      <c r="N15" s="39">
        <v>45944.0</v>
      </c>
      <c r="O15" s="40">
        <f t="shared" si="5"/>
        <v>14.99</v>
      </c>
      <c r="P15" s="5">
        <f t="shared" si="6"/>
        <v>604.3033333</v>
      </c>
      <c r="Q15" s="5">
        <f t="shared" si="3"/>
        <v>43.16452381</v>
      </c>
      <c r="R15" s="9">
        <f t="shared" si="4"/>
        <v>1338.100238</v>
      </c>
    </row>
    <row r="16">
      <c r="A16" s="39">
        <v>45933.0</v>
      </c>
      <c r="B16" s="4" t="s">
        <v>66</v>
      </c>
      <c r="C16" s="21">
        <v>3.25</v>
      </c>
      <c r="H16" s="19"/>
      <c r="N16" s="39">
        <v>45945.0</v>
      </c>
      <c r="O16" s="40">
        <f t="shared" si="5"/>
        <v>23.39</v>
      </c>
      <c r="P16" s="5">
        <f t="shared" si="6"/>
        <v>627.6933333</v>
      </c>
      <c r="Q16" s="5">
        <f t="shared" si="3"/>
        <v>41.84622222</v>
      </c>
      <c r="R16" s="9">
        <f t="shared" si="4"/>
        <v>1297.232889</v>
      </c>
    </row>
    <row r="17">
      <c r="A17" s="39">
        <v>45934.0</v>
      </c>
      <c r="B17" s="4" t="s">
        <v>57</v>
      </c>
      <c r="C17" s="40">
        <f>5.37+4.29</f>
        <v>9.66</v>
      </c>
      <c r="H17" s="19"/>
      <c r="N17" s="39">
        <v>45946.0</v>
      </c>
      <c r="O17" s="40">
        <f t="shared" si="5"/>
        <v>145.36</v>
      </c>
      <c r="P17" s="5">
        <f t="shared" si="6"/>
        <v>773.0533333</v>
      </c>
      <c r="Q17" s="5">
        <f t="shared" si="3"/>
        <v>48.31583333</v>
      </c>
      <c r="R17" s="9">
        <f t="shared" si="4"/>
        <v>1497.790833</v>
      </c>
    </row>
    <row r="18">
      <c r="A18" s="39">
        <v>45934.0</v>
      </c>
      <c r="B18" s="4" t="s">
        <v>59</v>
      </c>
      <c r="C18" s="21">
        <v>13.35</v>
      </c>
      <c r="H18" s="19"/>
      <c r="N18" s="39">
        <v>45947.0</v>
      </c>
      <c r="O18" s="40">
        <f t="shared" si="5"/>
        <v>148.85</v>
      </c>
      <c r="P18" s="5">
        <f t="shared" si="6"/>
        <v>921.9033333</v>
      </c>
      <c r="Q18" s="5">
        <f t="shared" si="3"/>
        <v>54.22960784</v>
      </c>
      <c r="R18" s="9">
        <f t="shared" si="4"/>
        <v>1681.117843</v>
      </c>
    </row>
    <row r="19">
      <c r="A19" s="39">
        <v>45934.0</v>
      </c>
      <c r="B19" s="4" t="s">
        <v>73</v>
      </c>
      <c r="C19" s="21">
        <v>17.33</v>
      </c>
      <c r="H19" s="19"/>
      <c r="N19" s="39">
        <v>45948.0</v>
      </c>
      <c r="O19" s="40">
        <f t="shared" si="5"/>
        <v>110</v>
      </c>
      <c r="P19" s="5">
        <f t="shared" si="6"/>
        <v>1031.903333</v>
      </c>
      <c r="Q19" s="5">
        <f t="shared" si="3"/>
        <v>57.32796296</v>
      </c>
      <c r="R19" s="9">
        <f t="shared" si="4"/>
        <v>1777.166852</v>
      </c>
    </row>
    <row r="20">
      <c r="A20" s="39">
        <v>45934.0</v>
      </c>
      <c r="B20" s="4" t="s">
        <v>127</v>
      </c>
      <c r="C20" s="21">
        <v>5.8</v>
      </c>
      <c r="H20" s="19"/>
      <c r="N20" s="39">
        <v>45949.0</v>
      </c>
      <c r="O20" s="40">
        <f t="shared" si="5"/>
        <v>58.99</v>
      </c>
      <c r="P20" s="5">
        <f t="shared" si="6"/>
        <v>1090.893333</v>
      </c>
      <c r="Q20" s="5">
        <f t="shared" si="3"/>
        <v>57.4154386</v>
      </c>
      <c r="R20" s="9">
        <f t="shared" si="4"/>
        <v>1779.878596</v>
      </c>
    </row>
    <row r="21">
      <c r="A21" s="39">
        <v>45934.0</v>
      </c>
      <c r="B21" s="4" t="s">
        <v>73</v>
      </c>
      <c r="C21" s="21">
        <v>8.59</v>
      </c>
      <c r="E21" s="19"/>
      <c r="F21" s="5"/>
      <c r="H21" s="19"/>
      <c r="N21" s="39">
        <v>45950.0</v>
      </c>
      <c r="O21" s="40">
        <f t="shared" si="5"/>
        <v>28.4</v>
      </c>
      <c r="P21" s="5">
        <f t="shared" si="6"/>
        <v>1119.293333</v>
      </c>
      <c r="Q21" s="5">
        <f t="shared" si="3"/>
        <v>55.96466667</v>
      </c>
      <c r="R21" s="9">
        <f t="shared" si="4"/>
        <v>1734.904667</v>
      </c>
    </row>
    <row r="22">
      <c r="A22" s="39">
        <v>45935.0</v>
      </c>
      <c r="B22" s="4" t="s">
        <v>93</v>
      </c>
      <c r="C22" s="4">
        <v>74.17</v>
      </c>
      <c r="E22" s="19"/>
      <c r="F22" s="5"/>
      <c r="H22" s="19"/>
      <c r="N22" s="39">
        <v>45951.0</v>
      </c>
      <c r="O22" s="40">
        <f t="shared" si="5"/>
        <v>30</v>
      </c>
      <c r="P22" s="5">
        <f t="shared" si="6"/>
        <v>1149.293333</v>
      </c>
      <c r="Q22" s="5">
        <f t="shared" si="3"/>
        <v>54.72825397</v>
      </c>
      <c r="R22" s="9">
        <f t="shared" si="4"/>
        <v>1696.575873</v>
      </c>
    </row>
    <row r="23">
      <c r="A23" s="39">
        <v>45935.0</v>
      </c>
      <c r="B23" s="4" t="s">
        <v>52</v>
      </c>
      <c r="C23" s="4">
        <v>9.98</v>
      </c>
      <c r="E23" s="19"/>
      <c r="F23" s="5"/>
      <c r="H23" s="19"/>
      <c r="N23" s="39">
        <v>45952.0</v>
      </c>
      <c r="O23" s="40">
        <f t="shared" si="5"/>
        <v>116.19</v>
      </c>
      <c r="P23" s="5">
        <f t="shared" si="6"/>
        <v>1265.483333</v>
      </c>
      <c r="Q23" s="5">
        <f t="shared" si="3"/>
        <v>57.5219697</v>
      </c>
      <c r="R23" s="9">
        <f t="shared" si="4"/>
        <v>1783.181061</v>
      </c>
    </row>
    <row r="24">
      <c r="A24" s="39">
        <v>45935.0</v>
      </c>
      <c r="B24" s="4" t="s">
        <v>45</v>
      </c>
      <c r="C24" s="21">
        <f>7.55+7.55+15.1+14.4</f>
        <v>44.6</v>
      </c>
      <c r="F24" s="5"/>
      <c r="H24" s="19"/>
      <c r="N24" s="39">
        <v>45953.0</v>
      </c>
      <c r="O24" s="40">
        <f t="shared" si="5"/>
        <v>169.86</v>
      </c>
      <c r="P24" s="5">
        <f t="shared" si="6"/>
        <v>1435.343333</v>
      </c>
      <c r="Q24" s="5">
        <f t="shared" si="3"/>
        <v>62.40623188</v>
      </c>
      <c r="R24" s="9">
        <f t="shared" si="4"/>
        <v>1934.593188</v>
      </c>
    </row>
    <row r="25">
      <c r="A25" s="39">
        <v>45936.0</v>
      </c>
      <c r="B25" s="4" t="s">
        <v>52</v>
      </c>
      <c r="C25" s="21">
        <v>15.0</v>
      </c>
      <c r="F25" s="5"/>
      <c r="H25" s="19"/>
      <c r="N25" s="39">
        <v>45954.0</v>
      </c>
      <c r="O25" s="40">
        <f t="shared" si="5"/>
        <v>14.25</v>
      </c>
      <c r="P25" s="5">
        <f t="shared" si="6"/>
        <v>1449.593333</v>
      </c>
      <c r="Q25" s="5">
        <f t="shared" si="3"/>
        <v>60.39972222</v>
      </c>
      <c r="R25" s="9">
        <f t="shared" si="4"/>
        <v>1872.391389</v>
      </c>
    </row>
    <row r="26">
      <c r="A26" s="39">
        <v>45937.0</v>
      </c>
      <c r="B26" s="4" t="s">
        <v>66</v>
      </c>
      <c r="C26" s="21">
        <v>6.26</v>
      </c>
      <c r="F26" s="5"/>
      <c r="H26" s="19"/>
      <c r="N26" s="39">
        <v>45955.0</v>
      </c>
      <c r="O26" s="40">
        <f t="shared" si="5"/>
        <v>261.41</v>
      </c>
      <c r="P26" s="5">
        <f t="shared" si="6"/>
        <v>1711.003333</v>
      </c>
      <c r="Q26" s="5">
        <f t="shared" si="3"/>
        <v>68.44013333</v>
      </c>
      <c r="R26" s="9">
        <f t="shared" si="4"/>
        <v>2121.644133</v>
      </c>
    </row>
    <row r="27">
      <c r="A27" s="39">
        <v>45938.0</v>
      </c>
      <c r="B27" s="4" t="s">
        <v>47</v>
      </c>
      <c r="C27" s="21">
        <v>30.49</v>
      </c>
      <c r="F27" s="5"/>
      <c r="H27" s="19"/>
      <c r="N27" s="39">
        <v>45956.0</v>
      </c>
      <c r="O27" s="40">
        <f t="shared" si="5"/>
        <v>11.01</v>
      </c>
      <c r="P27" s="5">
        <f t="shared" si="6"/>
        <v>1722.013333</v>
      </c>
      <c r="Q27" s="5">
        <f t="shared" si="3"/>
        <v>66.23128205</v>
      </c>
      <c r="R27" s="9">
        <f t="shared" si="4"/>
        <v>2053.169744</v>
      </c>
    </row>
    <row r="28">
      <c r="A28" s="39">
        <v>45939.0</v>
      </c>
      <c r="B28" s="4" t="s">
        <v>90</v>
      </c>
      <c r="C28" s="21">
        <v>9.0</v>
      </c>
      <c r="F28" s="5"/>
      <c r="H28" s="19"/>
      <c r="N28" s="39">
        <v>45957.0</v>
      </c>
      <c r="O28" s="40">
        <f t="shared" si="5"/>
        <v>109.65</v>
      </c>
      <c r="P28" s="5">
        <f t="shared" si="6"/>
        <v>1831.663333</v>
      </c>
      <c r="Q28" s="5">
        <f t="shared" si="3"/>
        <v>67.83938272</v>
      </c>
      <c r="R28" s="9">
        <f t="shared" si="4"/>
        <v>2103.020864</v>
      </c>
    </row>
    <row r="29">
      <c r="A29" s="39">
        <v>45939.0</v>
      </c>
      <c r="B29" s="4" t="s">
        <v>84</v>
      </c>
      <c r="C29" s="21">
        <v>7.0</v>
      </c>
      <c r="F29" s="5"/>
      <c r="H29" s="19"/>
      <c r="N29" s="39">
        <v>45958.0</v>
      </c>
      <c r="O29" s="40">
        <f t="shared" si="5"/>
        <v>36.15</v>
      </c>
      <c r="P29" s="5">
        <f t="shared" si="6"/>
        <v>1867.813333</v>
      </c>
      <c r="Q29" s="5">
        <f t="shared" si="3"/>
        <v>66.70761905</v>
      </c>
      <c r="R29" s="9">
        <f t="shared" si="4"/>
        <v>2067.93619</v>
      </c>
    </row>
    <row r="30">
      <c r="A30" s="39">
        <v>45939.0</v>
      </c>
      <c r="B30" s="4" t="s">
        <v>93</v>
      </c>
      <c r="C30" s="21">
        <v>36.45</v>
      </c>
      <c r="F30" s="5"/>
      <c r="H30" s="19"/>
      <c r="N30" s="39">
        <v>45959.0</v>
      </c>
      <c r="O30" s="40">
        <f t="shared" si="5"/>
        <v>244.67</v>
      </c>
      <c r="P30" s="5">
        <f t="shared" si="6"/>
        <v>2112.483333</v>
      </c>
      <c r="Q30" s="5">
        <f t="shared" si="3"/>
        <v>72.84425287</v>
      </c>
      <c r="R30" s="9">
        <f t="shared" si="4"/>
        <v>2258.171839</v>
      </c>
    </row>
    <row r="31">
      <c r="A31" s="39">
        <v>45939.0</v>
      </c>
      <c r="B31" s="4" t="s">
        <v>45</v>
      </c>
      <c r="C31" s="5">
        <f>3.3+14.15</f>
        <v>17.45</v>
      </c>
      <c r="E31" s="19"/>
      <c r="F31" s="5"/>
      <c r="H31" s="19"/>
      <c r="N31" s="39">
        <v>45960.0</v>
      </c>
      <c r="O31" s="40">
        <f t="shared" si="5"/>
        <v>66.9</v>
      </c>
      <c r="P31" s="5">
        <f t="shared" si="6"/>
        <v>2179.383333</v>
      </c>
      <c r="Q31" s="5">
        <f t="shared" si="3"/>
        <v>72.64611111</v>
      </c>
      <c r="R31" s="9">
        <f t="shared" si="4"/>
        <v>2252.029444</v>
      </c>
    </row>
    <row r="32">
      <c r="A32" s="39">
        <v>45939.0</v>
      </c>
      <c r="B32" s="4" t="s">
        <v>100</v>
      </c>
      <c r="C32" s="21">
        <v>4.0</v>
      </c>
      <c r="E32" s="19"/>
      <c r="F32" s="5"/>
      <c r="H32" s="19"/>
      <c r="N32" s="39">
        <v>45961.0</v>
      </c>
      <c r="O32" s="40">
        <f t="shared" si="5"/>
        <v>2150</v>
      </c>
      <c r="P32" s="5">
        <f t="shared" si="6"/>
        <v>4329.383333</v>
      </c>
      <c r="Q32" s="5">
        <f t="shared" si="3"/>
        <v>139.6575269</v>
      </c>
      <c r="R32" s="9">
        <f t="shared" si="4"/>
        <v>4329.383333</v>
      </c>
    </row>
    <row r="33">
      <c r="A33" s="39">
        <v>45939.0</v>
      </c>
      <c r="B33" s="4" t="s">
        <v>76</v>
      </c>
      <c r="C33" s="21">
        <v>0.99</v>
      </c>
      <c r="E33" s="19"/>
      <c r="F33" s="5"/>
      <c r="H33" s="19"/>
      <c r="N33" s="39"/>
      <c r="Q33" s="5"/>
      <c r="R33" s="9"/>
    </row>
    <row r="34">
      <c r="A34" s="39">
        <v>45940.0</v>
      </c>
      <c r="B34" s="4" t="s">
        <v>84</v>
      </c>
      <c r="C34" s="21">
        <v>5.99</v>
      </c>
      <c r="E34" s="19"/>
      <c r="F34" s="5"/>
      <c r="H34" s="19"/>
      <c r="Q34" s="5"/>
      <c r="R34" s="9"/>
    </row>
    <row r="35">
      <c r="A35" s="39">
        <v>45940.0</v>
      </c>
      <c r="B35" s="4" t="s">
        <v>45</v>
      </c>
      <c r="C35" s="21">
        <f>4.48+8.6</f>
        <v>13.08</v>
      </c>
      <c r="E35" s="19"/>
      <c r="F35" s="5"/>
      <c r="H35" s="19"/>
      <c r="Q35" s="5"/>
      <c r="R35" s="9"/>
    </row>
    <row r="36">
      <c r="A36" s="39">
        <v>45940.0</v>
      </c>
      <c r="B36" s="4" t="s">
        <v>127</v>
      </c>
      <c r="C36" s="21">
        <v>5.9</v>
      </c>
      <c r="E36" s="19"/>
      <c r="F36" s="5"/>
      <c r="H36" s="19"/>
      <c r="Q36" s="5"/>
      <c r="R36" s="9"/>
    </row>
    <row r="37">
      <c r="A37" s="39">
        <v>45941.0</v>
      </c>
      <c r="B37" s="4" t="s">
        <v>166</v>
      </c>
      <c r="C37" s="21">
        <v>47.18</v>
      </c>
      <c r="E37" s="19"/>
      <c r="F37" s="5"/>
      <c r="H37" s="19"/>
      <c r="Q37" s="5"/>
      <c r="R37" s="9"/>
    </row>
    <row r="38">
      <c r="A38" s="39">
        <v>45941.0</v>
      </c>
      <c r="B38" s="4" t="s">
        <v>76</v>
      </c>
      <c r="C38" s="21">
        <v>4.99</v>
      </c>
      <c r="E38" s="19"/>
      <c r="F38" s="5"/>
      <c r="H38" s="19"/>
      <c r="Q38" s="5"/>
      <c r="R38" s="9"/>
    </row>
    <row r="39">
      <c r="A39" s="39">
        <v>45941.0</v>
      </c>
      <c r="B39" s="4" t="s">
        <v>52</v>
      </c>
      <c r="C39" s="21">
        <v>16.79</v>
      </c>
      <c r="E39" s="19"/>
      <c r="F39" s="5"/>
      <c r="H39" s="19"/>
      <c r="Q39" s="5"/>
      <c r="R39" s="9"/>
    </row>
    <row r="40">
      <c r="A40" s="39">
        <v>45941.0</v>
      </c>
      <c r="B40" s="4" t="s">
        <v>73</v>
      </c>
      <c r="C40" s="21">
        <v>8.5</v>
      </c>
      <c r="E40" s="19"/>
      <c r="F40" s="5"/>
      <c r="H40" s="19"/>
      <c r="Q40" s="5"/>
      <c r="R40" s="9"/>
    </row>
    <row r="41">
      <c r="A41" s="39">
        <v>45942.0</v>
      </c>
      <c r="B41" s="4" t="s">
        <v>82</v>
      </c>
      <c r="C41" s="21">
        <v>11.95</v>
      </c>
      <c r="E41" s="19"/>
      <c r="F41" s="5"/>
      <c r="H41" s="19"/>
      <c r="Q41" s="5"/>
      <c r="R41" s="9"/>
    </row>
    <row r="42">
      <c r="A42" s="39">
        <v>45942.0</v>
      </c>
      <c r="B42" s="4" t="s">
        <v>66</v>
      </c>
      <c r="C42" s="21">
        <v>7.7</v>
      </c>
      <c r="E42" s="19"/>
      <c r="F42" s="5"/>
      <c r="H42" s="19"/>
      <c r="Q42" s="5"/>
      <c r="R42" s="9"/>
    </row>
    <row r="43">
      <c r="A43" s="39">
        <v>45943.0</v>
      </c>
      <c r="B43" s="4" t="s">
        <v>167</v>
      </c>
      <c r="C43" s="21">
        <v>9.01</v>
      </c>
      <c r="E43" s="19"/>
      <c r="F43" s="5"/>
      <c r="H43" s="19"/>
      <c r="Q43" s="5"/>
      <c r="R43" s="9"/>
    </row>
    <row r="44">
      <c r="A44" s="39">
        <v>45943.0</v>
      </c>
      <c r="B44" s="4" t="s">
        <v>57</v>
      </c>
      <c r="C44" s="21">
        <f>25.21+4.59+9.99</f>
        <v>39.79</v>
      </c>
      <c r="E44" s="19"/>
      <c r="F44" s="5"/>
      <c r="H44" s="19"/>
      <c r="Q44" s="5"/>
      <c r="R44" s="9"/>
    </row>
    <row r="45">
      <c r="A45" s="39">
        <v>45943.0</v>
      </c>
      <c r="B45" s="4" t="s">
        <v>66</v>
      </c>
      <c r="C45" s="21">
        <v>5.35</v>
      </c>
      <c r="E45" s="19"/>
      <c r="F45" s="5"/>
      <c r="H45" s="19"/>
      <c r="Q45" s="5"/>
      <c r="R45" s="9"/>
    </row>
    <row r="46">
      <c r="A46" s="39">
        <v>45943.0</v>
      </c>
      <c r="B46" s="4" t="s">
        <v>66</v>
      </c>
      <c r="C46" s="21">
        <v>1.95</v>
      </c>
      <c r="E46" s="19"/>
      <c r="F46" s="5"/>
      <c r="H46" s="19"/>
      <c r="Q46" s="5"/>
      <c r="R46" s="9"/>
    </row>
    <row r="47">
      <c r="A47" s="39">
        <v>45944.0</v>
      </c>
      <c r="B47" s="4" t="s">
        <v>64</v>
      </c>
      <c r="C47" s="21">
        <v>14.99</v>
      </c>
      <c r="E47" s="19"/>
      <c r="F47" s="5"/>
      <c r="H47" s="19"/>
      <c r="Q47" s="5"/>
      <c r="R47" s="9"/>
    </row>
    <row r="48">
      <c r="A48" s="39">
        <v>45945.0</v>
      </c>
      <c r="B48" s="4" t="s">
        <v>168</v>
      </c>
      <c r="C48" s="21">
        <v>5.8</v>
      </c>
      <c r="E48" s="19"/>
      <c r="F48" s="5"/>
      <c r="H48" s="19"/>
      <c r="Q48" s="5"/>
      <c r="R48" s="9"/>
    </row>
    <row r="49">
      <c r="A49" s="39">
        <v>45945.0</v>
      </c>
      <c r="B49" s="4" t="s">
        <v>66</v>
      </c>
      <c r="C49" s="21">
        <v>2.6</v>
      </c>
      <c r="E49" s="19"/>
      <c r="F49" s="5"/>
      <c r="H49" s="19"/>
      <c r="Q49" s="5"/>
      <c r="R49" s="9"/>
    </row>
    <row r="50">
      <c r="A50" s="39">
        <v>45945.0</v>
      </c>
      <c r="B50" s="4" t="s">
        <v>64</v>
      </c>
      <c r="C50" s="21">
        <v>14.99</v>
      </c>
      <c r="E50" s="19"/>
      <c r="F50" s="5"/>
      <c r="H50" s="19"/>
      <c r="Q50" s="5"/>
      <c r="R50" s="9"/>
    </row>
    <row r="51">
      <c r="A51" s="39">
        <v>45946.0</v>
      </c>
      <c r="B51" s="4" t="s">
        <v>169</v>
      </c>
      <c r="C51" s="21">
        <v>4.49</v>
      </c>
      <c r="E51" s="19"/>
      <c r="F51" s="5"/>
      <c r="H51" s="19"/>
      <c r="Q51" s="5"/>
      <c r="R51" s="9"/>
    </row>
    <row r="52">
      <c r="A52" s="39">
        <v>45946.0</v>
      </c>
      <c r="B52" s="4" t="s">
        <v>170</v>
      </c>
      <c r="C52" s="21">
        <v>33.07</v>
      </c>
      <c r="E52" s="19"/>
      <c r="F52" s="5"/>
      <c r="H52" s="19"/>
      <c r="Q52" s="5"/>
      <c r="R52" s="9"/>
    </row>
    <row r="53">
      <c r="A53" s="39">
        <v>45946.0</v>
      </c>
      <c r="B53" s="4" t="s">
        <v>55</v>
      </c>
      <c r="C53" s="21">
        <v>8.6</v>
      </c>
      <c r="E53" s="19"/>
      <c r="F53" s="5"/>
      <c r="H53" s="19"/>
      <c r="Q53" s="5"/>
      <c r="R53" s="9"/>
    </row>
    <row r="54">
      <c r="A54" s="39">
        <v>45946.0</v>
      </c>
      <c r="B54" s="4" t="s">
        <v>171</v>
      </c>
      <c r="C54" s="43">
        <v>99.2</v>
      </c>
      <c r="E54" s="19"/>
      <c r="F54" s="5"/>
      <c r="H54" s="19"/>
      <c r="Q54" s="5"/>
      <c r="R54" s="9"/>
    </row>
    <row r="55">
      <c r="A55" s="39">
        <v>45947.0</v>
      </c>
      <c r="B55" s="4" t="s">
        <v>172</v>
      </c>
      <c r="C55" s="21">
        <f>117.48+29.67</f>
        <v>147.15</v>
      </c>
      <c r="E55" s="19"/>
      <c r="F55" s="5"/>
      <c r="H55" s="19"/>
      <c r="Q55" s="5"/>
      <c r="R55" s="9"/>
    </row>
    <row r="56">
      <c r="A56" s="39">
        <v>45947.0</v>
      </c>
      <c r="B56" s="4" t="s">
        <v>173</v>
      </c>
      <c r="C56" s="21">
        <v>1.7</v>
      </c>
      <c r="E56" s="19"/>
      <c r="F56" s="5"/>
      <c r="H56" s="19"/>
      <c r="Q56" s="5"/>
      <c r="R56" s="9"/>
    </row>
    <row r="57">
      <c r="A57" s="39">
        <v>45948.0</v>
      </c>
      <c r="B57" s="4" t="s">
        <v>173</v>
      </c>
      <c r="C57" s="21">
        <v>110.0</v>
      </c>
      <c r="E57" s="19"/>
      <c r="F57" s="5"/>
      <c r="H57" s="19"/>
      <c r="Q57" s="5"/>
      <c r="R57" s="9"/>
    </row>
    <row r="58">
      <c r="A58" s="39">
        <v>45949.0</v>
      </c>
      <c r="B58" s="4" t="s">
        <v>173</v>
      </c>
      <c r="C58" s="21">
        <v>58.99</v>
      </c>
      <c r="E58" s="19"/>
      <c r="F58" s="5"/>
      <c r="H58" s="19"/>
      <c r="Q58" s="5"/>
      <c r="R58" s="9"/>
    </row>
    <row r="59">
      <c r="A59" s="39">
        <v>45950.0</v>
      </c>
      <c r="B59" s="4" t="s">
        <v>173</v>
      </c>
      <c r="C59" s="21">
        <v>28.4</v>
      </c>
      <c r="E59" s="19"/>
      <c r="F59" s="5"/>
      <c r="H59" s="19"/>
      <c r="Q59" s="5"/>
      <c r="R59" s="9"/>
    </row>
    <row r="60">
      <c r="A60" s="39">
        <v>45951.0</v>
      </c>
      <c r="B60" s="4" t="s">
        <v>173</v>
      </c>
      <c r="C60" s="21">
        <v>30.0</v>
      </c>
      <c r="E60" s="19"/>
      <c r="F60" s="5"/>
      <c r="H60" s="19"/>
      <c r="Q60" s="5"/>
      <c r="R60" s="9"/>
    </row>
    <row r="61">
      <c r="A61" s="39">
        <v>45952.0</v>
      </c>
      <c r="B61" s="4" t="s">
        <v>64</v>
      </c>
      <c r="C61" s="21">
        <v>56.58</v>
      </c>
      <c r="E61" s="19"/>
      <c r="F61" s="5"/>
      <c r="H61" s="19"/>
      <c r="Q61" s="5"/>
      <c r="R61" s="9"/>
    </row>
    <row r="62">
      <c r="A62" s="39">
        <v>45952.0</v>
      </c>
      <c r="B62" s="4" t="s">
        <v>173</v>
      </c>
      <c r="C62" s="21">
        <v>59.61</v>
      </c>
      <c r="E62" s="19"/>
      <c r="F62" s="5"/>
      <c r="H62" s="19"/>
      <c r="Q62" s="5"/>
      <c r="R62" s="9"/>
    </row>
    <row r="63">
      <c r="A63" s="39">
        <v>45953.0</v>
      </c>
      <c r="B63" s="4" t="s">
        <v>173</v>
      </c>
      <c r="C63" s="21">
        <v>169.86</v>
      </c>
      <c r="E63" s="19"/>
      <c r="F63" s="5"/>
      <c r="H63" s="19"/>
      <c r="Q63" s="5"/>
      <c r="R63" s="9"/>
    </row>
    <row r="64">
      <c r="A64" s="39">
        <v>45954.0</v>
      </c>
      <c r="B64" s="4" t="s">
        <v>173</v>
      </c>
      <c r="C64" s="21">
        <v>14.25</v>
      </c>
      <c r="E64" s="19"/>
      <c r="F64" s="5"/>
      <c r="H64" s="19"/>
      <c r="Q64" s="5"/>
      <c r="R64" s="9"/>
    </row>
    <row r="65">
      <c r="A65" s="39">
        <v>45955.0</v>
      </c>
      <c r="B65" s="4" t="s">
        <v>173</v>
      </c>
      <c r="C65" s="21">
        <f>261.41-134.02</f>
        <v>127.39</v>
      </c>
      <c r="E65" s="19"/>
      <c r="F65" s="5"/>
      <c r="H65" s="19"/>
      <c r="Q65" s="5"/>
      <c r="R65" s="9"/>
    </row>
    <row r="66">
      <c r="A66" s="39">
        <v>45955.0</v>
      </c>
      <c r="B66" s="4" t="s">
        <v>64</v>
      </c>
      <c r="C66" s="21">
        <v>134.02</v>
      </c>
      <c r="E66" s="19"/>
      <c r="F66" s="5"/>
      <c r="H66" s="19"/>
      <c r="Q66" s="5"/>
      <c r="R66" s="9"/>
    </row>
    <row r="67">
      <c r="A67" s="39">
        <v>45956.0</v>
      </c>
      <c r="B67" s="4" t="s">
        <v>173</v>
      </c>
      <c r="C67" s="21">
        <v>11.01</v>
      </c>
      <c r="E67" s="19"/>
      <c r="F67" s="5"/>
      <c r="H67" s="19"/>
      <c r="Q67" s="5"/>
      <c r="R67" s="9"/>
    </row>
    <row r="68">
      <c r="A68" s="39">
        <v>45957.0</v>
      </c>
      <c r="B68" s="4" t="s">
        <v>173</v>
      </c>
      <c r="C68" s="21">
        <v>109.65</v>
      </c>
      <c r="E68" s="19"/>
      <c r="F68" s="5"/>
      <c r="H68" s="19"/>
      <c r="Q68" s="5"/>
      <c r="R68" s="9"/>
    </row>
    <row r="69">
      <c r="A69" s="39">
        <v>45958.0</v>
      </c>
      <c r="B69" s="4" t="s">
        <v>173</v>
      </c>
      <c r="C69" s="21">
        <v>36.15</v>
      </c>
      <c r="E69" s="19"/>
      <c r="F69" s="5"/>
      <c r="H69" s="19"/>
      <c r="Q69" s="5"/>
      <c r="R69" s="9"/>
    </row>
    <row r="70">
      <c r="A70" s="39">
        <v>45959.0</v>
      </c>
      <c r="B70" s="4" t="s">
        <v>173</v>
      </c>
      <c r="C70" s="21">
        <v>244.67</v>
      </c>
      <c r="E70" s="19"/>
      <c r="F70" s="5"/>
      <c r="H70" s="19"/>
      <c r="Q70" s="5"/>
      <c r="R70" s="9"/>
    </row>
    <row r="71">
      <c r="A71" s="39">
        <v>45960.0</v>
      </c>
      <c r="B71" s="4" t="s">
        <v>173</v>
      </c>
      <c r="C71" s="21">
        <v>21.24</v>
      </c>
      <c r="E71" s="19"/>
      <c r="F71" s="5"/>
      <c r="H71" s="19"/>
      <c r="Q71" s="5"/>
      <c r="R71" s="9"/>
    </row>
    <row r="72">
      <c r="A72" s="39">
        <v>45960.0</v>
      </c>
      <c r="B72" s="11" t="s">
        <v>174</v>
      </c>
      <c r="C72" s="21">
        <f>16.68+12.68+12.58+1.82+1.9</f>
        <v>45.66</v>
      </c>
      <c r="E72" s="19"/>
      <c r="F72" s="5"/>
      <c r="H72" s="19"/>
      <c r="Q72" s="5"/>
      <c r="R72" s="9"/>
    </row>
    <row r="73">
      <c r="A73" s="39">
        <v>45961.0</v>
      </c>
      <c r="B73" s="4" t="s">
        <v>175</v>
      </c>
      <c r="C73" s="21">
        <v>2150.0</v>
      </c>
      <c r="E73" s="19"/>
      <c r="F73" s="5"/>
      <c r="H73" s="19"/>
      <c r="Q73" s="5"/>
      <c r="R73" s="9"/>
    </row>
    <row r="74">
      <c r="A74" s="39"/>
      <c r="C74" s="21"/>
      <c r="E74" s="19"/>
      <c r="F74" s="5"/>
      <c r="H74" s="19"/>
      <c r="Q74" s="5"/>
      <c r="R74" s="9"/>
    </row>
    <row r="75">
      <c r="A75" s="39"/>
      <c r="C75" s="21"/>
      <c r="E75" s="19"/>
      <c r="F75" s="5"/>
      <c r="H75" s="19"/>
      <c r="Q75" s="5"/>
      <c r="R75" s="9"/>
    </row>
    <row r="76">
      <c r="A76" s="39"/>
      <c r="C76" s="21"/>
      <c r="E76" s="19"/>
      <c r="F76" s="5"/>
      <c r="H76" s="19"/>
      <c r="Q76" s="5"/>
      <c r="R76" s="9"/>
    </row>
    <row r="77">
      <c r="A77" s="39"/>
      <c r="C77" s="21"/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C79" s="5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163.57</v>
      </c>
      <c r="G1" s="28"/>
      <c r="H1" s="1" t="s">
        <v>46</v>
      </c>
      <c r="I1" s="5">
        <f>I6-I7</f>
        <v>-597.975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18.91</v>
      </c>
      <c r="M1" s="19"/>
      <c r="N1" s="1" t="s">
        <v>48</v>
      </c>
      <c r="O1" s="16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45901.0</v>
      </c>
      <c r="B2" s="4" t="s">
        <v>8</v>
      </c>
      <c r="C2" s="21">
        <v>0.0</v>
      </c>
      <c r="E2" s="1" t="s">
        <v>52</v>
      </c>
      <c r="F2" s="5">
        <f t="shared" si="1"/>
        <v>17.91</v>
      </c>
      <c r="G2" s="28"/>
      <c r="H2" s="1" t="s">
        <v>6</v>
      </c>
      <c r="I2" s="5">
        <f>SUMIF(B:B,H2,C:C)</f>
        <v>1000</v>
      </c>
      <c r="K2" s="1" t="s">
        <v>53</v>
      </c>
      <c r="L2" s="5">
        <f t="shared" si="2"/>
        <v>0</v>
      </c>
      <c r="N2" s="39">
        <v>45901.0</v>
      </c>
      <c r="O2" s="5">
        <f>sumif(A:A,N2,C:C)-sum(C2:C4)</f>
        <v>33.49</v>
      </c>
      <c r="P2" s="5">
        <f>SUM(O2)</f>
        <v>33.49</v>
      </c>
      <c r="Q2" s="5">
        <f t="shared" ref="Q2:Q31" si="3">P2/(ROW()-1)</f>
        <v>33.49</v>
      </c>
      <c r="R2" s="9">
        <f t="shared" ref="R2:R31" si="4">count(N:N)*Q2</f>
        <v>1004.7</v>
      </c>
      <c r="T2" s="9"/>
      <c r="U2" s="9"/>
    </row>
    <row r="3">
      <c r="A3" s="39">
        <v>45901.0</v>
      </c>
      <c r="B3" s="4" t="s">
        <v>54</v>
      </c>
      <c r="C3" s="41">
        <f>850+195.45</f>
        <v>1045.45</v>
      </c>
      <c r="E3" s="1" t="s">
        <v>55</v>
      </c>
      <c r="F3" s="5">
        <f t="shared" si="1"/>
        <v>232.995</v>
      </c>
      <c r="G3" s="28"/>
      <c r="H3" s="1" t="s">
        <v>8</v>
      </c>
      <c r="I3" s="5">
        <f>SUMIF(B:B,H3,C:C)+I1</f>
        <v>-597.975</v>
      </c>
      <c r="K3" s="1" t="s">
        <v>56</v>
      </c>
      <c r="L3" s="5">
        <f t="shared" si="2"/>
        <v>0</v>
      </c>
      <c r="N3" s="39">
        <v>45902.0</v>
      </c>
      <c r="O3" s="5">
        <f t="shared" ref="O3:O31" si="5">sumif(A:A,N3,C:C)</f>
        <v>0</v>
      </c>
      <c r="P3" s="5">
        <f t="shared" ref="P3:P31" si="6">P2+O3</f>
        <v>33.49</v>
      </c>
      <c r="Q3" s="5">
        <f t="shared" si="3"/>
        <v>16.745</v>
      </c>
      <c r="R3" s="9">
        <f t="shared" si="4"/>
        <v>502.35</v>
      </c>
    </row>
    <row r="4">
      <c r="A4" s="39">
        <v>45901.0</v>
      </c>
      <c r="B4" s="4" t="s">
        <v>6</v>
      </c>
      <c r="C4" s="21">
        <v>1000.0</v>
      </c>
      <c r="E4" s="1" t="s">
        <v>57</v>
      </c>
      <c r="F4" s="5">
        <f>SUMIF(B:B,"*"&amp;E4&amp;"*",C:C)+SUM(L1:L7)</f>
        <v>220.16</v>
      </c>
      <c r="G4" s="28"/>
      <c r="H4" s="1" t="s">
        <v>58</v>
      </c>
      <c r="I4" s="5">
        <f>I2+I3</f>
        <v>402.025</v>
      </c>
      <c r="K4" s="1" t="s">
        <v>59</v>
      </c>
      <c r="L4" s="5">
        <f t="shared" si="2"/>
        <v>48.57</v>
      </c>
      <c r="N4" s="39">
        <v>45903.0</v>
      </c>
      <c r="O4" s="5">
        <f t="shared" si="5"/>
        <v>14.83</v>
      </c>
      <c r="P4" s="5">
        <f t="shared" si="6"/>
        <v>48.32</v>
      </c>
      <c r="Q4" s="5">
        <f t="shared" si="3"/>
        <v>16.10666667</v>
      </c>
      <c r="R4" s="9">
        <f t="shared" si="4"/>
        <v>483.2</v>
      </c>
    </row>
    <row r="5">
      <c r="A5" s="39">
        <v>45901.0</v>
      </c>
      <c r="B5" s="4" t="s">
        <v>63</v>
      </c>
      <c r="C5" s="21">
        <v>7.0</v>
      </c>
      <c r="E5" s="42" t="s">
        <v>61</v>
      </c>
      <c r="F5" s="5">
        <f t="shared" ref="F5:F12" si="7">SUMIF(B:B,"*"&amp;E5&amp;"*",C:C)</f>
        <v>38.64</v>
      </c>
      <c r="G5" s="28"/>
      <c r="K5" s="1" t="s">
        <v>62</v>
      </c>
      <c r="L5" s="5">
        <f t="shared" si="2"/>
        <v>10.11</v>
      </c>
      <c r="N5" s="39">
        <v>45904.0</v>
      </c>
      <c r="O5" s="5">
        <f t="shared" si="5"/>
        <v>30.08</v>
      </c>
      <c r="P5" s="5">
        <f t="shared" si="6"/>
        <v>78.4</v>
      </c>
      <c r="Q5" s="5">
        <f t="shared" si="3"/>
        <v>19.6</v>
      </c>
      <c r="R5" s="9">
        <f t="shared" si="4"/>
        <v>588</v>
      </c>
    </row>
    <row r="6">
      <c r="A6" s="39">
        <v>45901.0</v>
      </c>
      <c r="B6" s="4" t="s">
        <v>67</v>
      </c>
      <c r="C6" s="21">
        <v>21.99</v>
      </c>
      <c r="E6" s="1" t="s">
        <v>64</v>
      </c>
      <c r="F6" s="5">
        <f t="shared" si="7"/>
        <v>133.34</v>
      </c>
      <c r="G6" s="28"/>
      <c r="H6" s="1" t="s">
        <v>65</v>
      </c>
      <c r="I6" s="21">
        <v>3229.23</v>
      </c>
      <c r="K6" s="1" t="s">
        <v>66</v>
      </c>
      <c r="L6" s="5">
        <f t="shared" si="2"/>
        <v>25.8</v>
      </c>
      <c r="N6" s="39">
        <v>45905.0</v>
      </c>
      <c r="O6" s="5">
        <f t="shared" si="5"/>
        <v>40.3</v>
      </c>
      <c r="P6" s="5">
        <f t="shared" si="6"/>
        <v>118.7</v>
      </c>
      <c r="Q6" s="5">
        <f t="shared" si="3"/>
        <v>23.74</v>
      </c>
      <c r="R6" s="9">
        <f t="shared" si="4"/>
        <v>712.2</v>
      </c>
    </row>
    <row r="7">
      <c r="A7" s="39">
        <v>45901.0</v>
      </c>
      <c r="B7" s="4" t="s">
        <v>70</v>
      </c>
      <c r="C7" s="21">
        <v>0.0</v>
      </c>
      <c r="E7" s="1" t="s">
        <v>54</v>
      </c>
      <c r="F7" s="5">
        <f t="shared" si="7"/>
        <v>1052.45</v>
      </c>
      <c r="G7" s="28"/>
      <c r="H7" s="1" t="s">
        <v>68</v>
      </c>
      <c r="I7" s="5">
        <f>sum(C:C)</f>
        <v>3827.205</v>
      </c>
      <c r="K7" s="1" t="s">
        <v>69</v>
      </c>
      <c r="L7" s="5">
        <f t="shared" si="2"/>
        <v>55.65</v>
      </c>
      <c r="N7" s="39">
        <v>45906.0</v>
      </c>
      <c r="O7" s="5">
        <f t="shared" si="5"/>
        <v>18.38</v>
      </c>
      <c r="P7" s="5">
        <f t="shared" si="6"/>
        <v>137.08</v>
      </c>
      <c r="Q7" s="5">
        <f t="shared" si="3"/>
        <v>22.84666667</v>
      </c>
      <c r="R7" s="9">
        <f t="shared" si="4"/>
        <v>685.4</v>
      </c>
    </row>
    <row r="8">
      <c r="A8" s="39">
        <v>45901.0</v>
      </c>
      <c r="B8" s="4" t="s">
        <v>47</v>
      </c>
      <c r="C8" s="21">
        <v>4.5</v>
      </c>
      <c r="E8" s="1" t="s">
        <v>127</v>
      </c>
      <c r="F8" s="5">
        <f t="shared" si="7"/>
        <v>43.2</v>
      </c>
      <c r="G8" s="28"/>
      <c r="H8" s="1" t="s">
        <v>72</v>
      </c>
      <c r="I8" s="5">
        <f>sum(F:F)+I2+C2</f>
        <v>3475.065</v>
      </c>
      <c r="N8" s="39">
        <v>45907.0</v>
      </c>
      <c r="O8" s="5">
        <f t="shared" si="5"/>
        <v>109</v>
      </c>
      <c r="P8" s="5">
        <f t="shared" si="6"/>
        <v>246.08</v>
      </c>
      <c r="Q8" s="5">
        <f t="shared" si="3"/>
        <v>35.15428571</v>
      </c>
      <c r="R8" s="9">
        <f t="shared" si="4"/>
        <v>1054.628571</v>
      </c>
    </row>
    <row r="9">
      <c r="A9" s="39">
        <v>45903.0</v>
      </c>
      <c r="B9" s="4" t="s">
        <v>127</v>
      </c>
      <c r="C9" s="21">
        <v>7.0</v>
      </c>
      <c r="E9" s="1" t="s">
        <v>73</v>
      </c>
      <c r="F9" s="5">
        <f t="shared" si="7"/>
        <v>21.13</v>
      </c>
      <c r="G9" s="28"/>
      <c r="H9" s="1" t="s">
        <v>74</v>
      </c>
      <c r="I9" s="5">
        <f>I7-I8</f>
        <v>352.14</v>
      </c>
      <c r="N9" s="39">
        <v>45908.0</v>
      </c>
      <c r="O9" s="5">
        <f t="shared" si="5"/>
        <v>0</v>
      </c>
      <c r="P9" s="5">
        <f t="shared" si="6"/>
        <v>246.08</v>
      </c>
      <c r="Q9" s="5">
        <f t="shared" si="3"/>
        <v>30.76</v>
      </c>
      <c r="R9" s="9">
        <f t="shared" si="4"/>
        <v>922.8</v>
      </c>
    </row>
    <row r="10">
      <c r="A10" s="39">
        <v>45903.0</v>
      </c>
      <c r="B10" s="4" t="s">
        <v>62</v>
      </c>
      <c r="C10" s="21">
        <v>3.85</v>
      </c>
      <c r="E10" s="1" t="s">
        <v>75</v>
      </c>
      <c r="F10" s="5">
        <f t="shared" si="7"/>
        <v>21.99</v>
      </c>
      <c r="G10" s="28"/>
      <c r="N10" s="39">
        <v>45909.0</v>
      </c>
      <c r="O10" s="5">
        <f t="shared" si="5"/>
        <v>52.89</v>
      </c>
      <c r="P10" s="5">
        <f t="shared" si="6"/>
        <v>298.97</v>
      </c>
      <c r="Q10" s="5">
        <f t="shared" si="3"/>
        <v>33.21888889</v>
      </c>
      <c r="R10" s="9">
        <f t="shared" si="4"/>
        <v>996.5666667</v>
      </c>
    </row>
    <row r="11">
      <c r="A11" s="39">
        <v>45903.0</v>
      </c>
      <c r="B11" s="4" t="s">
        <v>95</v>
      </c>
      <c r="C11" s="21">
        <v>3.98</v>
      </c>
      <c r="E11" s="1" t="s">
        <v>76</v>
      </c>
      <c r="F11" s="5">
        <f t="shared" si="7"/>
        <v>18.74</v>
      </c>
      <c r="G11" s="28"/>
      <c r="H11" s="1" t="s">
        <v>3</v>
      </c>
      <c r="I11" s="28">
        <f>I4/I6</f>
        <v>0.1244956228</v>
      </c>
      <c r="N11" s="39">
        <v>45910.0</v>
      </c>
      <c r="O11" s="5">
        <f t="shared" si="5"/>
        <v>0</v>
      </c>
      <c r="P11" s="5">
        <f t="shared" si="6"/>
        <v>298.97</v>
      </c>
      <c r="Q11" s="5">
        <f t="shared" si="3"/>
        <v>29.897</v>
      </c>
      <c r="R11" s="9">
        <f t="shared" si="4"/>
        <v>896.91</v>
      </c>
    </row>
    <row r="12">
      <c r="A12" s="39">
        <v>45904.0</v>
      </c>
      <c r="B12" s="4" t="s">
        <v>127</v>
      </c>
      <c r="C12" s="21">
        <v>7.0</v>
      </c>
      <c r="E12" s="1" t="s">
        <v>77</v>
      </c>
      <c r="F12" s="5">
        <f t="shared" si="7"/>
        <v>510.94</v>
      </c>
      <c r="G12" s="28"/>
      <c r="N12" s="39">
        <v>45911.0</v>
      </c>
      <c r="O12" s="5">
        <f t="shared" si="5"/>
        <v>7.9</v>
      </c>
      <c r="P12" s="5">
        <f t="shared" si="6"/>
        <v>306.87</v>
      </c>
      <c r="Q12" s="5">
        <f t="shared" si="3"/>
        <v>27.89727273</v>
      </c>
      <c r="R12" s="9">
        <f t="shared" si="4"/>
        <v>836.9181818</v>
      </c>
    </row>
    <row r="13">
      <c r="A13" s="39">
        <v>45904.0</v>
      </c>
      <c r="B13" s="4" t="s">
        <v>62</v>
      </c>
      <c r="C13" s="21">
        <v>0.27</v>
      </c>
      <c r="E13" s="1"/>
      <c r="F13" s="5"/>
      <c r="N13" s="39">
        <v>45912.0</v>
      </c>
      <c r="O13" s="5">
        <f t="shared" si="5"/>
        <v>141.49</v>
      </c>
      <c r="P13" s="5">
        <f t="shared" si="6"/>
        <v>448.36</v>
      </c>
      <c r="Q13" s="5">
        <f t="shared" si="3"/>
        <v>37.36333333</v>
      </c>
      <c r="R13" s="9">
        <f t="shared" si="4"/>
        <v>1120.9</v>
      </c>
    </row>
    <row r="14">
      <c r="A14" s="39">
        <v>45904.0</v>
      </c>
      <c r="B14" s="4" t="s">
        <v>138</v>
      </c>
      <c r="C14" s="21">
        <v>0.58</v>
      </c>
      <c r="E14" s="1"/>
      <c r="F14" s="5"/>
      <c r="H14" s="19"/>
      <c r="N14" s="39">
        <v>45913.0</v>
      </c>
      <c r="O14" s="5">
        <f t="shared" si="5"/>
        <v>104.47</v>
      </c>
      <c r="P14" s="5">
        <f t="shared" si="6"/>
        <v>552.83</v>
      </c>
      <c r="Q14" s="5">
        <f t="shared" si="3"/>
        <v>42.52538462</v>
      </c>
      <c r="R14" s="9">
        <f t="shared" si="4"/>
        <v>1275.761538</v>
      </c>
    </row>
    <row r="15">
      <c r="A15" s="39">
        <v>45904.0</v>
      </c>
      <c r="B15" s="4" t="s">
        <v>90</v>
      </c>
      <c r="C15" s="21">
        <v>13.7</v>
      </c>
      <c r="E15" s="1"/>
      <c r="H15" s="1"/>
      <c r="N15" s="39">
        <v>45914.0</v>
      </c>
      <c r="O15" s="5">
        <f t="shared" si="5"/>
        <v>4</v>
      </c>
      <c r="P15" s="5">
        <f t="shared" si="6"/>
        <v>556.83</v>
      </c>
      <c r="Q15" s="5">
        <f t="shared" si="3"/>
        <v>39.77357143</v>
      </c>
      <c r="R15" s="9">
        <f t="shared" si="4"/>
        <v>1193.207143</v>
      </c>
    </row>
    <row r="16">
      <c r="A16" s="39">
        <v>45904.0</v>
      </c>
      <c r="B16" s="4" t="s">
        <v>47</v>
      </c>
      <c r="C16" s="21">
        <v>4.55</v>
      </c>
      <c r="H16" s="19"/>
      <c r="N16" s="39">
        <v>45915.0</v>
      </c>
      <c r="O16" s="5">
        <f t="shared" si="5"/>
        <v>17.77</v>
      </c>
      <c r="P16" s="5">
        <f t="shared" si="6"/>
        <v>574.6</v>
      </c>
      <c r="Q16" s="5">
        <f t="shared" si="3"/>
        <v>38.30666667</v>
      </c>
      <c r="R16" s="9">
        <f t="shared" si="4"/>
        <v>1149.2</v>
      </c>
    </row>
    <row r="17">
      <c r="A17" s="39">
        <v>45904.0</v>
      </c>
      <c r="B17" s="4" t="s">
        <v>95</v>
      </c>
      <c r="C17" s="21">
        <v>3.98</v>
      </c>
      <c r="H17" s="19"/>
      <c r="N17" s="39">
        <v>45916.0</v>
      </c>
      <c r="O17" s="5">
        <f t="shared" si="5"/>
        <v>78.07</v>
      </c>
      <c r="P17" s="5">
        <f t="shared" si="6"/>
        <v>652.67</v>
      </c>
      <c r="Q17" s="5">
        <f t="shared" si="3"/>
        <v>40.791875</v>
      </c>
      <c r="R17" s="9">
        <f t="shared" si="4"/>
        <v>1223.75625</v>
      </c>
    </row>
    <row r="18">
      <c r="A18" s="39">
        <v>45905.0</v>
      </c>
      <c r="B18" s="4" t="s">
        <v>127</v>
      </c>
      <c r="C18" s="21">
        <v>5.8</v>
      </c>
      <c r="H18" s="19"/>
      <c r="N18" s="39">
        <v>45917.0</v>
      </c>
      <c r="O18" s="5">
        <f t="shared" si="5"/>
        <v>478.32</v>
      </c>
      <c r="P18" s="5">
        <f t="shared" si="6"/>
        <v>1130.99</v>
      </c>
      <c r="Q18" s="5">
        <f t="shared" si="3"/>
        <v>66.52882353</v>
      </c>
      <c r="R18" s="9">
        <f t="shared" si="4"/>
        <v>1995.864706</v>
      </c>
    </row>
    <row r="19">
      <c r="A19" s="39">
        <v>45905.0</v>
      </c>
      <c r="B19" s="4" t="s">
        <v>45</v>
      </c>
      <c r="C19" s="21">
        <v>11.0</v>
      </c>
      <c r="H19" s="19"/>
      <c r="N19" s="39">
        <v>45918.0</v>
      </c>
      <c r="O19" s="5">
        <f t="shared" si="5"/>
        <v>35.29</v>
      </c>
      <c r="P19" s="5">
        <f t="shared" si="6"/>
        <v>1166.28</v>
      </c>
      <c r="Q19" s="5">
        <f t="shared" si="3"/>
        <v>64.79333333</v>
      </c>
      <c r="R19" s="9">
        <f t="shared" si="4"/>
        <v>1943.8</v>
      </c>
    </row>
    <row r="20">
      <c r="A20" s="39">
        <v>45905.0</v>
      </c>
      <c r="B20" s="4" t="s">
        <v>93</v>
      </c>
      <c r="C20" s="21">
        <v>23.5</v>
      </c>
      <c r="H20" s="19"/>
      <c r="N20" s="39">
        <v>45919.0</v>
      </c>
      <c r="O20" s="5">
        <f t="shared" si="5"/>
        <v>31.75</v>
      </c>
      <c r="P20" s="5">
        <f t="shared" si="6"/>
        <v>1198.03</v>
      </c>
      <c r="Q20" s="5">
        <f t="shared" si="3"/>
        <v>63.05421053</v>
      </c>
      <c r="R20" s="9">
        <f t="shared" si="4"/>
        <v>1891.626316</v>
      </c>
    </row>
    <row r="21">
      <c r="A21" s="39">
        <v>45906.0</v>
      </c>
      <c r="B21" s="4" t="s">
        <v>59</v>
      </c>
      <c r="C21" s="21">
        <v>7.07</v>
      </c>
      <c r="E21" s="19"/>
      <c r="F21" s="5"/>
      <c r="H21" s="19"/>
      <c r="N21" s="39">
        <v>45920.0</v>
      </c>
      <c r="O21" s="5">
        <f t="shared" si="5"/>
        <v>124.37</v>
      </c>
      <c r="P21" s="5">
        <f t="shared" si="6"/>
        <v>1322.4</v>
      </c>
      <c r="Q21" s="5">
        <f t="shared" si="3"/>
        <v>66.12</v>
      </c>
      <c r="R21" s="9">
        <f t="shared" si="4"/>
        <v>1983.6</v>
      </c>
    </row>
    <row r="22">
      <c r="A22" s="39">
        <v>45906.0</v>
      </c>
      <c r="B22" s="4" t="s">
        <v>124</v>
      </c>
      <c r="C22" s="21">
        <v>4.75</v>
      </c>
      <c r="E22" s="19"/>
      <c r="F22" s="5"/>
      <c r="H22" s="19"/>
      <c r="N22" s="39">
        <v>45921.0</v>
      </c>
      <c r="O22" s="5">
        <f t="shared" si="5"/>
        <v>24.22</v>
      </c>
      <c r="P22" s="5">
        <f t="shared" si="6"/>
        <v>1346.62</v>
      </c>
      <c r="Q22" s="5">
        <f t="shared" si="3"/>
        <v>64.1247619</v>
      </c>
      <c r="R22" s="9">
        <f t="shared" si="4"/>
        <v>1923.742857</v>
      </c>
    </row>
    <row r="23">
      <c r="A23" s="39">
        <v>45906.0</v>
      </c>
      <c r="B23" s="4" t="s">
        <v>69</v>
      </c>
      <c r="C23" s="21">
        <v>6.56</v>
      </c>
      <c r="E23" s="19"/>
      <c r="F23" s="5"/>
      <c r="H23" s="19"/>
      <c r="N23" s="39">
        <v>45922.0</v>
      </c>
      <c r="O23" s="5">
        <f t="shared" si="5"/>
        <v>91.83</v>
      </c>
      <c r="P23" s="5">
        <f t="shared" si="6"/>
        <v>1438.45</v>
      </c>
      <c r="Q23" s="5">
        <f t="shared" si="3"/>
        <v>65.38409091</v>
      </c>
      <c r="R23" s="9">
        <f t="shared" si="4"/>
        <v>1961.522727</v>
      </c>
    </row>
    <row r="24">
      <c r="A24" s="39">
        <v>45907.0</v>
      </c>
      <c r="B24" s="4" t="s">
        <v>66</v>
      </c>
      <c r="C24" s="21">
        <v>7.5</v>
      </c>
      <c r="F24" s="5"/>
      <c r="H24" s="19"/>
      <c r="N24" s="39">
        <v>45923.0</v>
      </c>
      <c r="O24" s="5">
        <f t="shared" si="5"/>
        <v>10.98</v>
      </c>
      <c r="P24" s="5">
        <f t="shared" si="6"/>
        <v>1449.43</v>
      </c>
      <c r="Q24" s="5">
        <f t="shared" si="3"/>
        <v>63.01869565</v>
      </c>
      <c r="R24" s="9">
        <f t="shared" si="4"/>
        <v>1890.56087</v>
      </c>
    </row>
    <row r="25">
      <c r="A25" s="39">
        <v>45907.0</v>
      </c>
      <c r="B25" s="4" t="s">
        <v>59</v>
      </c>
      <c r="C25" s="21">
        <v>21.5</v>
      </c>
      <c r="F25" s="5"/>
      <c r="H25" s="19"/>
      <c r="N25" s="39">
        <v>45924.0</v>
      </c>
      <c r="O25" s="5">
        <f t="shared" si="5"/>
        <v>10</v>
      </c>
      <c r="P25" s="5">
        <f t="shared" si="6"/>
        <v>1459.43</v>
      </c>
      <c r="Q25" s="5">
        <f t="shared" si="3"/>
        <v>60.80958333</v>
      </c>
      <c r="R25" s="9">
        <f t="shared" si="4"/>
        <v>1824.2875</v>
      </c>
    </row>
    <row r="26">
      <c r="A26" s="39">
        <v>45907.0</v>
      </c>
      <c r="B26" s="4" t="s">
        <v>176</v>
      </c>
      <c r="C26" s="21">
        <v>80.0</v>
      </c>
      <c r="F26" s="5"/>
      <c r="H26" s="19"/>
      <c r="N26" s="39">
        <v>45925.0</v>
      </c>
      <c r="O26" s="5">
        <f t="shared" si="5"/>
        <v>11.75</v>
      </c>
      <c r="P26" s="5">
        <f t="shared" si="6"/>
        <v>1471.18</v>
      </c>
      <c r="Q26" s="5">
        <f t="shared" si="3"/>
        <v>58.8472</v>
      </c>
      <c r="R26" s="9">
        <f t="shared" si="4"/>
        <v>1765.416</v>
      </c>
    </row>
    <row r="27">
      <c r="A27" s="39">
        <v>45909.0</v>
      </c>
      <c r="B27" s="4" t="s">
        <v>45</v>
      </c>
      <c r="C27" s="21">
        <v>5.99</v>
      </c>
      <c r="F27" s="5"/>
      <c r="H27" s="19"/>
      <c r="N27" s="39">
        <v>45926.0</v>
      </c>
      <c r="O27" s="5">
        <f t="shared" si="5"/>
        <v>121.61</v>
      </c>
      <c r="P27" s="5">
        <f t="shared" si="6"/>
        <v>1592.79</v>
      </c>
      <c r="Q27" s="5">
        <f t="shared" si="3"/>
        <v>61.26115385</v>
      </c>
      <c r="R27" s="9">
        <f t="shared" si="4"/>
        <v>1837.834615</v>
      </c>
    </row>
    <row r="28">
      <c r="A28" s="39">
        <v>45909.0</v>
      </c>
      <c r="B28" s="4" t="s">
        <v>90</v>
      </c>
      <c r="C28" s="21">
        <v>21.0</v>
      </c>
      <c r="F28" s="5"/>
      <c r="H28" s="19"/>
      <c r="N28" s="39">
        <v>45927.0</v>
      </c>
      <c r="O28" s="5">
        <f t="shared" si="5"/>
        <v>84.1</v>
      </c>
      <c r="P28" s="5">
        <f t="shared" si="6"/>
        <v>1676.89</v>
      </c>
      <c r="Q28" s="5">
        <f t="shared" si="3"/>
        <v>62.10703704</v>
      </c>
      <c r="R28" s="9">
        <f t="shared" si="4"/>
        <v>1863.211111</v>
      </c>
    </row>
    <row r="29">
      <c r="A29" s="39">
        <v>45909.0</v>
      </c>
      <c r="B29" s="4" t="s">
        <v>45</v>
      </c>
      <c r="C29" s="21">
        <f>7.3+8.8</f>
        <v>16.1</v>
      </c>
      <c r="F29" s="5"/>
      <c r="H29" s="19"/>
      <c r="N29" s="39">
        <v>45928.0</v>
      </c>
      <c r="O29" s="5">
        <f t="shared" si="5"/>
        <v>19.06</v>
      </c>
      <c r="P29" s="5">
        <f t="shared" si="6"/>
        <v>1695.95</v>
      </c>
      <c r="Q29" s="5">
        <f t="shared" si="3"/>
        <v>60.56964286</v>
      </c>
      <c r="R29" s="9">
        <f t="shared" si="4"/>
        <v>1817.089286</v>
      </c>
    </row>
    <row r="30">
      <c r="A30" s="39">
        <v>45909.0</v>
      </c>
      <c r="B30" s="4" t="s">
        <v>47</v>
      </c>
      <c r="C30" s="21">
        <v>7.8</v>
      </c>
      <c r="F30" s="5"/>
      <c r="H30" s="19"/>
      <c r="N30" s="39">
        <v>45929.0</v>
      </c>
      <c r="O30" s="5">
        <f t="shared" si="5"/>
        <v>10.97</v>
      </c>
      <c r="P30" s="5">
        <f t="shared" si="6"/>
        <v>1706.92</v>
      </c>
      <c r="Q30" s="5">
        <f t="shared" si="3"/>
        <v>58.85931034</v>
      </c>
      <c r="R30" s="9">
        <f t="shared" si="4"/>
        <v>1765.77931</v>
      </c>
    </row>
    <row r="31">
      <c r="A31" s="39">
        <v>45909.0</v>
      </c>
      <c r="B31" s="4" t="s">
        <v>127</v>
      </c>
      <c r="C31" s="21">
        <v>2.0</v>
      </c>
      <c r="E31" s="19"/>
      <c r="F31" s="5"/>
      <c r="H31" s="19"/>
      <c r="N31" s="39">
        <v>45930.0</v>
      </c>
      <c r="O31" s="5">
        <f t="shared" si="5"/>
        <v>74.835</v>
      </c>
      <c r="P31" s="5">
        <f t="shared" si="6"/>
        <v>1781.755</v>
      </c>
      <c r="Q31" s="5">
        <f t="shared" si="3"/>
        <v>59.39183333</v>
      </c>
      <c r="R31" s="9">
        <f t="shared" si="4"/>
        <v>1781.755</v>
      </c>
    </row>
    <row r="32">
      <c r="A32" s="39">
        <v>45911.0</v>
      </c>
      <c r="B32" s="4" t="s">
        <v>66</v>
      </c>
      <c r="C32" s="21">
        <v>7.9</v>
      </c>
      <c r="E32" s="19"/>
      <c r="F32" s="5"/>
      <c r="H32" s="19"/>
      <c r="N32" s="39"/>
      <c r="O32" s="5"/>
      <c r="Q32" s="5"/>
      <c r="R32" s="9"/>
    </row>
    <row r="33">
      <c r="A33" s="39">
        <v>45912.0</v>
      </c>
      <c r="B33" s="4" t="s">
        <v>127</v>
      </c>
      <c r="C33" s="21">
        <v>5.8</v>
      </c>
      <c r="E33" s="19"/>
      <c r="F33" s="5"/>
      <c r="H33" s="19"/>
      <c r="N33" s="39"/>
      <c r="O33" s="5"/>
      <c r="Q33" s="5"/>
      <c r="R33" s="9"/>
    </row>
    <row r="34">
      <c r="A34" s="39">
        <v>45912.0</v>
      </c>
      <c r="B34" s="4" t="s">
        <v>62</v>
      </c>
      <c r="C34" s="21">
        <v>5.99</v>
      </c>
      <c r="E34" s="19"/>
      <c r="F34" s="5"/>
      <c r="H34" s="19"/>
      <c r="O34" s="5"/>
      <c r="Q34" s="5"/>
      <c r="R34" s="9"/>
    </row>
    <row r="35">
      <c r="A35" s="39">
        <v>45912.0</v>
      </c>
      <c r="B35" s="4" t="s">
        <v>45</v>
      </c>
      <c r="C35" s="21">
        <v>29.7</v>
      </c>
      <c r="E35" s="19"/>
      <c r="F35" s="5"/>
      <c r="H35" s="19"/>
      <c r="O35" s="5"/>
      <c r="Q35" s="5"/>
      <c r="R35" s="9"/>
    </row>
    <row r="36">
      <c r="A36" s="39">
        <v>45912.0</v>
      </c>
      <c r="B36" s="4" t="s">
        <v>93</v>
      </c>
      <c r="C36" s="21">
        <v>100.0</v>
      </c>
      <c r="E36" s="19"/>
      <c r="F36" s="5"/>
      <c r="H36" s="19"/>
      <c r="O36" s="5"/>
      <c r="Q36" s="5"/>
      <c r="R36" s="9"/>
    </row>
    <row r="37">
      <c r="A37" s="39">
        <v>45913.0</v>
      </c>
      <c r="B37" s="4" t="s">
        <v>90</v>
      </c>
      <c r="C37" s="21">
        <v>8.5</v>
      </c>
      <c r="E37" s="19"/>
      <c r="F37" s="5"/>
      <c r="H37" s="19"/>
      <c r="O37" s="5"/>
      <c r="Q37" s="5"/>
      <c r="R37" s="9"/>
    </row>
    <row r="38">
      <c r="A38" s="39">
        <v>45913.0</v>
      </c>
      <c r="B38" s="4" t="s">
        <v>57</v>
      </c>
      <c r="C38" s="21">
        <v>7.99</v>
      </c>
      <c r="E38" s="19"/>
      <c r="F38" s="5"/>
      <c r="H38" s="19"/>
      <c r="O38" s="5"/>
      <c r="Q38" s="5"/>
      <c r="R38" s="9"/>
    </row>
    <row r="39">
      <c r="A39" s="39">
        <v>45913.0</v>
      </c>
      <c r="B39" s="4" t="s">
        <v>89</v>
      </c>
      <c r="C39" s="21">
        <v>6.0</v>
      </c>
      <c r="E39" s="19"/>
      <c r="F39" s="5"/>
      <c r="H39" s="19"/>
      <c r="O39" s="5"/>
      <c r="Q39" s="5"/>
      <c r="R39" s="9"/>
    </row>
    <row r="40">
      <c r="A40" s="39">
        <v>45913.0</v>
      </c>
      <c r="B40" s="4" t="s">
        <v>93</v>
      </c>
      <c r="C40" s="21">
        <v>21.0</v>
      </c>
      <c r="E40" s="19"/>
      <c r="F40" s="5"/>
      <c r="H40" s="19"/>
      <c r="O40" s="5"/>
      <c r="Q40" s="5"/>
      <c r="R40" s="9"/>
    </row>
    <row r="41">
      <c r="A41" s="39">
        <v>45913.0</v>
      </c>
      <c r="B41" s="4" t="s">
        <v>45</v>
      </c>
      <c r="C41" s="21">
        <f>4.98+14.6+11.05+14.5</f>
        <v>45.13</v>
      </c>
      <c r="E41" s="19"/>
      <c r="F41" s="5"/>
      <c r="H41" s="19"/>
      <c r="O41" s="5"/>
      <c r="Q41" s="5"/>
      <c r="R41" s="9"/>
    </row>
    <row r="42">
      <c r="A42" s="39">
        <v>45913.0</v>
      </c>
      <c r="B42" s="4" t="s">
        <v>73</v>
      </c>
      <c r="C42" s="21">
        <v>12.95</v>
      </c>
      <c r="E42" s="19"/>
      <c r="F42" s="5"/>
      <c r="H42" s="19"/>
      <c r="O42" s="5"/>
      <c r="Q42" s="5"/>
      <c r="R42" s="9"/>
    </row>
    <row r="43">
      <c r="A43" s="39">
        <v>45913.0</v>
      </c>
      <c r="B43" s="4" t="s">
        <v>127</v>
      </c>
      <c r="C43" s="21">
        <v>2.9</v>
      </c>
      <c r="E43" s="19"/>
      <c r="F43" s="5"/>
      <c r="H43" s="19"/>
      <c r="O43" s="5"/>
      <c r="Q43" s="5"/>
      <c r="R43" s="9"/>
    </row>
    <row r="44">
      <c r="A44" s="39">
        <v>45914.0</v>
      </c>
      <c r="B44" s="4" t="s">
        <v>100</v>
      </c>
      <c r="C44" s="21">
        <v>4.0</v>
      </c>
      <c r="E44" s="19"/>
      <c r="F44" s="5"/>
      <c r="H44" s="19"/>
      <c r="O44" s="5"/>
      <c r="Q44" s="5"/>
      <c r="R44" s="9"/>
    </row>
    <row r="45">
      <c r="A45" s="39">
        <v>45915.0</v>
      </c>
      <c r="B45" s="4" t="s">
        <v>66</v>
      </c>
      <c r="C45" s="21">
        <v>6.71</v>
      </c>
      <c r="E45" s="19"/>
      <c r="F45" s="5"/>
      <c r="H45" s="19"/>
      <c r="O45" s="5"/>
      <c r="Q45" s="5"/>
      <c r="R45" s="9"/>
    </row>
    <row r="46">
      <c r="A46" s="39">
        <v>45915.0</v>
      </c>
      <c r="B46" s="4" t="s">
        <v>69</v>
      </c>
      <c r="C46" s="21">
        <v>11.06</v>
      </c>
      <c r="E46" s="19"/>
      <c r="F46" s="5"/>
      <c r="H46" s="19"/>
      <c r="O46" s="5"/>
      <c r="Q46" s="5"/>
      <c r="R46" s="9"/>
    </row>
    <row r="47">
      <c r="A47" s="39">
        <v>45916.0</v>
      </c>
      <c r="B47" s="4" t="s">
        <v>177</v>
      </c>
      <c r="C47" s="21">
        <v>29.37</v>
      </c>
      <c r="E47" s="19"/>
      <c r="F47" s="5"/>
      <c r="H47" s="19"/>
      <c r="O47" s="5"/>
      <c r="Q47" s="5"/>
      <c r="R47" s="9"/>
    </row>
    <row r="48">
      <c r="A48" s="39">
        <v>45916.0</v>
      </c>
      <c r="B48" s="4" t="s">
        <v>69</v>
      </c>
      <c r="C48" s="21">
        <v>13.31</v>
      </c>
      <c r="E48" s="19"/>
      <c r="F48" s="5"/>
      <c r="H48" s="19"/>
      <c r="O48" s="5"/>
      <c r="Q48" s="5"/>
      <c r="R48" s="9"/>
    </row>
    <row r="49">
      <c r="A49" s="39">
        <v>45916.0</v>
      </c>
      <c r="B49" s="4" t="s">
        <v>178</v>
      </c>
      <c r="C49" s="21">
        <v>35.39</v>
      </c>
      <c r="E49" s="19"/>
      <c r="F49" s="5"/>
      <c r="H49" s="19"/>
      <c r="O49" s="5"/>
      <c r="Q49" s="5"/>
      <c r="R49" s="9"/>
    </row>
    <row r="50">
      <c r="A50" s="39">
        <v>45917.0</v>
      </c>
      <c r="B50" s="4" t="s">
        <v>179</v>
      </c>
      <c r="C50" s="21">
        <v>240.0</v>
      </c>
      <c r="E50" s="19"/>
      <c r="F50" s="5"/>
      <c r="H50" s="19"/>
      <c r="O50" s="5"/>
      <c r="Q50" s="5"/>
      <c r="R50" s="9"/>
    </row>
    <row r="51">
      <c r="A51" s="39">
        <v>45917.0</v>
      </c>
      <c r="B51" s="4" t="s">
        <v>172</v>
      </c>
      <c r="C51" s="21">
        <f>117.48+29.67</f>
        <v>147.15</v>
      </c>
      <c r="E51" s="19"/>
      <c r="F51" s="5"/>
      <c r="H51" s="19"/>
      <c r="O51" s="5"/>
      <c r="Q51" s="5"/>
      <c r="R51" s="9"/>
    </row>
    <row r="52">
      <c r="A52" s="39">
        <v>45917.0</v>
      </c>
      <c r="B52" s="4" t="s">
        <v>180</v>
      </c>
      <c r="C52" s="21">
        <v>76.76</v>
      </c>
      <c r="E52" s="19"/>
      <c r="F52" s="5"/>
      <c r="H52" s="19"/>
      <c r="O52" s="5"/>
      <c r="Q52" s="5"/>
      <c r="R52" s="9"/>
    </row>
    <row r="53">
      <c r="A53" s="39">
        <v>45917.0</v>
      </c>
      <c r="B53" s="4" t="s">
        <v>76</v>
      </c>
      <c r="C53" s="21">
        <v>6.99</v>
      </c>
      <c r="E53" s="19"/>
      <c r="F53" s="5"/>
      <c r="H53" s="19"/>
      <c r="O53" s="5"/>
      <c r="Q53" s="5"/>
      <c r="R53" s="9"/>
    </row>
    <row r="54">
      <c r="A54" s="39">
        <v>45917.0</v>
      </c>
      <c r="B54" s="4" t="s">
        <v>179</v>
      </c>
      <c r="C54" s="21">
        <f>4.91+2.51</f>
        <v>7.42</v>
      </c>
      <c r="E54" s="19"/>
      <c r="F54" s="5"/>
      <c r="H54" s="19"/>
      <c r="O54" s="5"/>
      <c r="Q54" s="5"/>
      <c r="R54" s="9"/>
    </row>
    <row r="55">
      <c r="A55" s="39">
        <v>45918.0</v>
      </c>
      <c r="B55" s="4" t="s">
        <v>179</v>
      </c>
      <c r="C55" s="5">
        <f>0.84+6.93+0.18+1.79+24.91+0.64</f>
        <v>35.29</v>
      </c>
      <c r="E55" s="19"/>
      <c r="F55" s="5"/>
      <c r="H55" s="19"/>
      <c r="O55" s="5"/>
      <c r="Q55" s="5"/>
      <c r="R55" s="9"/>
    </row>
    <row r="56">
      <c r="A56" s="39">
        <v>45919.0</v>
      </c>
      <c r="B56" s="4" t="s">
        <v>179</v>
      </c>
      <c r="C56" s="43">
        <v>26.75</v>
      </c>
      <c r="E56" s="19"/>
      <c r="F56" s="5"/>
      <c r="H56" s="19"/>
      <c r="O56" s="5"/>
      <c r="Q56" s="5"/>
      <c r="R56" s="9"/>
    </row>
    <row r="57">
      <c r="A57" s="39">
        <v>45919.0</v>
      </c>
      <c r="B57" s="4" t="s">
        <v>108</v>
      </c>
      <c r="C57" s="21">
        <v>5.0</v>
      </c>
      <c r="E57" s="19"/>
      <c r="F57" s="5"/>
      <c r="H57" s="19"/>
      <c r="O57" s="5"/>
      <c r="Q57" s="5"/>
      <c r="R57" s="9"/>
    </row>
    <row r="58">
      <c r="A58" s="39">
        <v>45920.0</v>
      </c>
      <c r="B58" s="4" t="s">
        <v>179</v>
      </c>
      <c r="C58" s="21">
        <v>124.37</v>
      </c>
      <c r="E58" s="19"/>
      <c r="F58" s="5"/>
      <c r="H58" s="19"/>
      <c r="O58" s="5"/>
      <c r="Q58" s="5"/>
      <c r="R58" s="9"/>
    </row>
    <row r="59">
      <c r="A59" s="39">
        <v>45921.0</v>
      </c>
      <c r="B59" s="4" t="s">
        <v>179</v>
      </c>
      <c r="C59" s="21">
        <v>12.35</v>
      </c>
      <c r="E59" s="19"/>
      <c r="F59" s="5"/>
      <c r="H59" s="19"/>
      <c r="O59" s="5"/>
      <c r="Q59" s="5"/>
      <c r="R59" s="9"/>
    </row>
    <row r="60">
      <c r="A60" s="39">
        <v>45921.0</v>
      </c>
      <c r="B60" s="4" t="s">
        <v>66</v>
      </c>
      <c r="C60" s="21">
        <v>3.69</v>
      </c>
      <c r="E60" s="19"/>
      <c r="F60" s="5"/>
      <c r="H60" s="19"/>
      <c r="O60" s="5"/>
      <c r="Q60" s="5"/>
      <c r="R60" s="9"/>
    </row>
    <row r="61">
      <c r="A61" s="39">
        <v>45921.0</v>
      </c>
      <c r="B61" s="4" t="s">
        <v>73</v>
      </c>
      <c r="C61" s="21">
        <v>8.18</v>
      </c>
      <c r="E61" s="19"/>
      <c r="F61" s="5"/>
      <c r="H61" s="19"/>
      <c r="O61" s="5"/>
      <c r="Q61" s="5"/>
      <c r="R61" s="9"/>
    </row>
    <row r="62">
      <c r="A62" s="39">
        <v>45922.0</v>
      </c>
      <c r="B62" s="4" t="s">
        <v>64</v>
      </c>
      <c r="C62" s="21">
        <v>56.58</v>
      </c>
      <c r="E62" s="19"/>
      <c r="F62" s="5"/>
      <c r="H62" s="19"/>
      <c r="O62" s="5"/>
      <c r="Q62" s="5"/>
      <c r="R62" s="9"/>
    </row>
    <row r="63">
      <c r="A63" s="39">
        <v>45922.0</v>
      </c>
      <c r="B63" s="4" t="s">
        <v>57</v>
      </c>
      <c r="C63" s="21">
        <v>17.5</v>
      </c>
      <c r="E63" s="19"/>
      <c r="F63" s="5"/>
      <c r="H63" s="19"/>
      <c r="O63" s="5"/>
      <c r="Q63" s="5"/>
      <c r="R63" s="9"/>
    </row>
    <row r="64">
      <c r="A64" s="39">
        <v>45922.0</v>
      </c>
      <c r="B64" s="4" t="s">
        <v>69</v>
      </c>
      <c r="C64" s="21">
        <v>13.75</v>
      </c>
      <c r="E64" s="19"/>
      <c r="F64" s="5"/>
      <c r="H64" s="19"/>
      <c r="O64" s="5"/>
      <c r="Q64" s="5"/>
      <c r="R64" s="9"/>
    </row>
    <row r="65">
      <c r="A65" s="39">
        <v>45922.0</v>
      </c>
      <c r="B65" s="4" t="s">
        <v>100</v>
      </c>
      <c r="C65" s="21">
        <v>4.0</v>
      </c>
      <c r="E65" s="19"/>
      <c r="F65" s="5"/>
      <c r="H65" s="19"/>
      <c r="O65" s="5"/>
      <c r="Q65" s="5"/>
      <c r="R65" s="9"/>
    </row>
    <row r="66">
      <c r="A66" s="39">
        <v>45923.0</v>
      </c>
      <c r="B66" s="4" t="s">
        <v>95</v>
      </c>
      <c r="C66" s="21">
        <v>3.98</v>
      </c>
      <c r="E66" s="19"/>
      <c r="F66" s="5"/>
      <c r="H66" s="19"/>
      <c r="O66" s="5"/>
      <c r="Q66" s="5"/>
      <c r="R66" s="9"/>
    </row>
    <row r="67">
      <c r="A67" s="39">
        <v>45923.0</v>
      </c>
      <c r="B67" s="4" t="s">
        <v>127</v>
      </c>
      <c r="C67" s="21">
        <v>7.0</v>
      </c>
      <c r="E67" s="19"/>
      <c r="F67" s="5"/>
      <c r="H67" s="19"/>
      <c r="O67" s="5"/>
      <c r="Q67" s="5"/>
      <c r="R67" s="9"/>
    </row>
    <row r="68">
      <c r="A68" s="39">
        <v>45924.0</v>
      </c>
      <c r="B68" s="4" t="s">
        <v>59</v>
      </c>
      <c r="C68" s="21">
        <v>10.0</v>
      </c>
      <c r="E68" s="19"/>
      <c r="F68" s="5"/>
      <c r="H68" s="19"/>
      <c r="O68" s="5"/>
      <c r="Q68" s="5"/>
      <c r="R68" s="9"/>
    </row>
    <row r="69">
      <c r="A69" s="39">
        <v>45925.0</v>
      </c>
      <c r="B69" s="4" t="s">
        <v>76</v>
      </c>
      <c r="C69" s="21">
        <v>11.75</v>
      </c>
      <c r="E69" s="19"/>
      <c r="F69" s="5"/>
      <c r="H69" s="19"/>
      <c r="O69" s="5"/>
      <c r="Q69" s="5"/>
      <c r="R69" s="9"/>
    </row>
    <row r="70">
      <c r="A70" s="39">
        <v>45926.0</v>
      </c>
      <c r="B70" s="4" t="s">
        <v>181</v>
      </c>
      <c r="C70" s="21">
        <v>69.99</v>
      </c>
      <c r="E70" s="19"/>
      <c r="F70" s="5"/>
      <c r="H70" s="19"/>
      <c r="O70" s="5"/>
      <c r="Q70" s="5"/>
      <c r="R70" s="9"/>
    </row>
    <row r="71">
      <c r="A71" s="39">
        <v>45926.0</v>
      </c>
      <c r="B71" s="4" t="s">
        <v>100</v>
      </c>
      <c r="C71" s="21">
        <v>10.0</v>
      </c>
      <c r="E71" s="19"/>
      <c r="F71" s="5"/>
      <c r="H71" s="19"/>
      <c r="O71" s="5"/>
      <c r="Q71" s="5"/>
      <c r="R71" s="9"/>
    </row>
    <row r="72">
      <c r="A72" s="39">
        <v>45926.0</v>
      </c>
      <c r="B72" s="4" t="s">
        <v>57</v>
      </c>
      <c r="C72" s="21">
        <v>20.88</v>
      </c>
      <c r="E72" s="19"/>
      <c r="F72" s="5"/>
      <c r="H72" s="19"/>
      <c r="O72" s="5"/>
      <c r="Q72" s="5"/>
      <c r="R72" s="9"/>
    </row>
    <row r="73">
      <c r="A73" s="39">
        <v>45926.0</v>
      </c>
      <c r="B73" s="4" t="s">
        <v>52</v>
      </c>
      <c r="C73" s="21">
        <v>10.74</v>
      </c>
      <c r="E73" s="19"/>
      <c r="F73" s="5"/>
      <c r="H73" s="19"/>
      <c r="O73" s="5"/>
      <c r="Q73" s="5"/>
      <c r="R73" s="9"/>
    </row>
    <row r="74">
      <c r="A74" s="39">
        <v>45926.0</v>
      </c>
      <c r="B74" s="4" t="s">
        <v>59</v>
      </c>
      <c r="C74" s="21">
        <v>10.0</v>
      </c>
      <c r="E74" s="19"/>
      <c r="F74" s="5"/>
      <c r="H74" s="19"/>
      <c r="O74" s="5"/>
      <c r="Q74" s="5"/>
      <c r="R74" s="9"/>
    </row>
    <row r="75">
      <c r="A75" s="39">
        <v>45927.0</v>
      </c>
      <c r="B75" s="4" t="s">
        <v>119</v>
      </c>
      <c r="C75" s="21">
        <v>8.0</v>
      </c>
      <c r="E75" s="19"/>
      <c r="F75" s="5"/>
      <c r="H75" s="19"/>
      <c r="O75" s="5"/>
      <c r="Q75" s="5"/>
      <c r="R75" s="9"/>
    </row>
    <row r="76">
      <c r="A76" s="39">
        <v>45927.0</v>
      </c>
      <c r="B76" s="4" t="s">
        <v>45</v>
      </c>
      <c r="C76" s="21">
        <f>6.2+20.55+9+19.9</f>
        <v>55.65</v>
      </c>
      <c r="E76" s="19"/>
      <c r="F76" s="5"/>
      <c r="H76" s="19"/>
      <c r="O76" s="5"/>
      <c r="Q76" s="5"/>
      <c r="R76" s="9"/>
    </row>
    <row r="77">
      <c r="A77" s="39">
        <v>45927.0</v>
      </c>
      <c r="B77" s="4" t="s">
        <v>57</v>
      </c>
      <c r="C77" s="21">
        <f>0.99+2.35+9.96+1.45</f>
        <v>14.75</v>
      </c>
      <c r="E77" s="19"/>
      <c r="F77" s="5"/>
      <c r="H77" s="19"/>
      <c r="O77" s="5"/>
      <c r="Q77" s="5"/>
      <c r="R77" s="9"/>
    </row>
    <row r="78">
      <c r="A78" s="39">
        <v>45927.0</v>
      </c>
      <c r="B78" s="4" t="s">
        <v>127</v>
      </c>
      <c r="C78" s="21">
        <v>5.7</v>
      </c>
      <c r="E78" s="19"/>
      <c r="F78" s="5"/>
      <c r="H78" s="19"/>
      <c r="O78" s="5"/>
      <c r="Q78" s="5"/>
      <c r="R78" s="9"/>
    </row>
    <row r="79">
      <c r="A79" s="39">
        <v>45928.0</v>
      </c>
      <c r="B79" s="4" t="s">
        <v>100</v>
      </c>
      <c r="C79" s="21">
        <v>11.89</v>
      </c>
      <c r="E79" s="19"/>
      <c r="F79" s="5"/>
      <c r="H79" s="19"/>
      <c r="O79" s="5"/>
      <c r="Q79" s="5"/>
      <c r="R79" s="9"/>
    </row>
    <row r="80">
      <c r="A80" s="39">
        <v>45928.0</v>
      </c>
      <c r="B80" s="4" t="s">
        <v>52</v>
      </c>
      <c r="C80" s="21">
        <v>7.17</v>
      </c>
      <c r="E80" s="19"/>
      <c r="F80" s="5"/>
      <c r="H80" s="19"/>
      <c r="O80" s="5"/>
      <c r="Q80" s="5"/>
      <c r="R80" s="9"/>
    </row>
    <row r="81">
      <c r="A81" s="39">
        <v>45929.0</v>
      </c>
      <c r="B81" s="4" t="s">
        <v>69</v>
      </c>
      <c r="C81" s="21">
        <v>10.97</v>
      </c>
      <c r="E81" s="19"/>
      <c r="F81" s="5"/>
      <c r="H81" s="19"/>
      <c r="O81" s="5"/>
      <c r="Q81" s="5"/>
      <c r="R81" s="9"/>
    </row>
    <row r="82">
      <c r="A82" s="39">
        <v>45930.0</v>
      </c>
      <c r="B82" s="4" t="s">
        <v>182</v>
      </c>
      <c r="C82" s="21">
        <v>35.42</v>
      </c>
      <c r="E82" s="19"/>
      <c r="F82" s="5"/>
      <c r="H82" s="19"/>
      <c r="O82" s="5"/>
      <c r="Q82" s="5"/>
      <c r="R82" s="9"/>
    </row>
    <row r="83">
      <c r="A83" s="39">
        <v>45930.0</v>
      </c>
      <c r="B83" s="4" t="s">
        <v>47</v>
      </c>
      <c r="C83" s="21">
        <v>2.06</v>
      </c>
      <c r="E83" s="19"/>
      <c r="F83" s="5"/>
      <c r="H83" s="19"/>
      <c r="O83" s="5"/>
      <c r="Q83" s="5"/>
      <c r="R83" s="9"/>
    </row>
    <row r="84">
      <c r="A84" s="39">
        <v>45930.0</v>
      </c>
      <c r="B84" s="4" t="s">
        <v>93</v>
      </c>
      <c r="C84" s="21">
        <f>(52.31+14.4)/2</f>
        <v>33.355</v>
      </c>
      <c r="E84" s="19"/>
      <c r="F84" s="5"/>
      <c r="H84" s="19"/>
      <c r="O84" s="5"/>
      <c r="Q84" s="5"/>
      <c r="R84" s="9"/>
    </row>
    <row r="85">
      <c r="A85" s="39">
        <v>45930.0</v>
      </c>
      <c r="B85" s="4" t="s">
        <v>100</v>
      </c>
      <c r="C85" s="21">
        <v>4.0</v>
      </c>
      <c r="E85" s="19"/>
      <c r="F85" s="5"/>
      <c r="H85" s="19"/>
      <c r="O85" s="5"/>
      <c r="Q85" s="5"/>
      <c r="R85" s="9"/>
    </row>
    <row r="86">
      <c r="A86" s="39"/>
      <c r="C86" s="21"/>
      <c r="E86" s="19"/>
      <c r="F86" s="5"/>
      <c r="H86" s="19"/>
      <c r="O86" s="5"/>
      <c r="Q86" s="5"/>
      <c r="R86" s="9"/>
    </row>
    <row r="87">
      <c r="A87" s="39"/>
      <c r="C87" s="21"/>
      <c r="E87" s="19"/>
      <c r="F87" s="5"/>
      <c r="H87" s="19"/>
      <c r="O87" s="5"/>
      <c r="Q87" s="5"/>
      <c r="R87" s="9"/>
    </row>
    <row r="88">
      <c r="A88" s="39"/>
      <c r="C88" s="21"/>
      <c r="E88" s="19"/>
      <c r="F88" s="5"/>
      <c r="H88" s="19"/>
      <c r="O88" s="5"/>
      <c r="Q88" s="5"/>
      <c r="R88" s="9"/>
    </row>
    <row r="89">
      <c r="A89" s="39"/>
      <c r="C89" s="21"/>
      <c r="E89" s="19"/>
      <c r="F89" s="5"/>
      <c r="H89" s="19"/>
      <c r="O89" s="5"/>
      <c r="Q89" s="5"/>
      <c r="R89" s="9"/>
    </row>
    <row r="90">
      <c r="A90" s="39"/>
      <c r="C90" s="21"/>
      <c r="E90" s="19"/>
      <c r="F90" s="5"/>
      <c r="H90" s="19"/>
      <c r="O90" s="5"/>
      <c r="Q90" s="5"/>
      <c r="R90" s="9"/>
    </row>
    <row r="91">
      <c r="A91" s="39"/>
      <c r="C91" s="21"/>
      <c r="E91" s="19"/>
      <c r="F91" s="5"/>
      <c r="H91" s="19"/>
      <c r="O91" s="5"/>
      <c r="Q91" s="5"/>
      <c r="R91" s="9"/>
    </row>
    <row r="92">
      <c r="A92" s="39"/>
      <c r="C92" s="21"/>
      <c r="E92" s="19"/>
      <c r="F92" s="5"/>
      <c r="H92" s="19"/>
      <c r="O92" s="5"/>
      <c r="Q92" s="5"/>
      <c r="R92" s="9"/>
    </row>
    <row r="93">
      <c r="A93" s="39"/>
      <c r="C93" s="21"/>
      <c r="E93" s="19"/>
      <c r="F93" s="5"/>
      <c r="H93" s="19"/>
      <c r="O93" s="5"/>
      <c r="Q93" s="5"/>
      <c r="R93" s="9"/>
    </row>
    <row r="94">
      <c r="A94" s="39"/>
      <c r="C94" s="21"/>
      <c r="E94" s="19"/>
      <c r="F94" s="5"/>
      <c r="H94" s="19"/>
      <c r="O94" s="5"/>
      <c r="Q94" s="5"/>
      <c r="R94" s="9"/>
    </row>
    <row r="95">
      <c r="A95" s="39"/>
      <c r="C95" s="21"/>
      <c r="E95" s="19"/>
      <c r="F95" s="5"/>
      <c r="H95" s="19"/>
      <c r="O95" s="5"/>
      <c r="Q95" s="5"/>
      <c r="R95" s="9"/>
    </row>
    <row r="96">
      <c r="A96" s="39"/>
      <c r="C96" s="21"/>
      <c r="E96" s="19"/>
      <c r="F96" s="5"/>
      <c r="H96" s="19"/>
      <c r="O96" s="5"/>
      <c r="Q96" s="5"/>
      <c r="R96" s="9"/>
    </row>
    <row r="97">
      <c r="A97" s="39"/>
      <c r="C97" s="21"/>
      <c r="E97" s="19"/>
      <c r="F97" s="5"/>
      <c r="H97" s="19"/>
      <c r="O97" s="5"/>
      <c r="Q97" s="5"/>
      <c r="R97" s="9"/>
    </row>
    <row r="98">
      <c r="A98" s="39"/>
      <c r="C98" s="21"/>
      <c r="E98" s="19"/>
      <c r="F98" s="5"/>
      <c r="H98" s="19"/>
      <c r="O98" s="5"/>
      <c r="Q98" s="5"/>
      <c r="R98" s="9"/>
    </row>
    <row r="99">
      <c r="A99" s="39"/>
      <c r="C99" s="21"/>
      <c r="E99" s="19"/>
      <c r="F99" s="5"/>
      <c r="H99" s="19"/>
      <c r="O99" s="5"/>
      <c r="Q99" s="5"/>
      <c r="R99" s="9"/>
    </row>
    <row r="100">
      <c r="A100" s="44"/>
      <c r="C100" s="5"/>
      <c r="E100" s="19"/>
      <c r="F100" s="5"/>
      <c r="H100" s="19"/>
      <c r="O100" s="5"/>
      <c r="Q100" s="5"/>
      <c r="R100" s="9"/>
    </row>
    <row r="101">
      <c r="A101" s="44"/>
      <c r="C101" s="5"/>
      <c r="E101" s="19"/>
      <c r="F101" s="5"/>
      <c r="H101" s="19"/>
      <c r="O101" s="5"/>
      <c r="Q101" s="5"/>
      <c r="R101" s="9"/>
    </row>
    <row r="102">
      <c r="A102" s="44"/>
      <c r="C102" s="5"/>
      <c r="E102" s="19"/>
      <c r="F102" s="5"/>
      <c r="H102" s="19"/>
      <c r="O102" s="5"/>
      <c r="Q102" s="5"/>
      <c r="R102" s="9"/>
    </row>
    <row r="103">
      <c r="A103" s="44"/>
      <c r="C103" s="5"/>
      <c r="E103" s="19"/>
      <c r="F103" s="5"/>
      <c r="H103" s="19"/>
      <c r="O103" s="5"/>
      <c r="Q103" s="5"/>
      <c r="R103" s="9"/>
    </row>
    <row r="104">
      <c r="A104" s="44"/>
      <c r="C104" s="5"/>
      <c r="E104" s="19"/>
      <c r="F104" s="5"/>
      <c r="H104" s="19"/>
      <c r="O104" s="5"/>
      <c r="Q104" s="5"/>
      <c r="R104" s="9"/>
    </row>
    <row r="105">
      <c r="A105" s="44"/>
      <c r="C105" s="5"/>
      <c r="E105" s="19"/>
      <c r="F105" s="5"/>
      <c r="H105" s="19"/>
      <c r="O105" s="5"/>
      <c r="Q105" s="5"/>
      <c r="R105" s="9"/>
    </row>
    <row r="106">
      <c r="A106" s="44"/>
      <c r="C106" s="5"/>
      <c r="E106" s="19"/>
      <c r="F106" s="5"/>
      <c r="H106" s="19"/>
      <c r="O106" s="5"/>
      <c r="Q106" s="5"/>
      <c r="R106" s="9"/>
    </row>
    <row r="107">
      <c r="A107" s="44"/>
      <c r="C107" s="5"/>
      <c r="E107" s="19"/>
      <c r="F107" s="5"/>
      <c r="H107" s="19"/>
      <c r="O107" s="5"/>
      <c r="Q107" s="5"/>
      <c r="R107" s="9"/>
    </row>
    <row r="108">
      <c r="A108" s="44"/>
      <c r="C108" s="5"/>
      <c r="E108" s="19"/>
      <c r="F108" s="5"/>
      <c r="H108" s="19"/>
      <c r="O108" s="5"/>
      <c r="Q108" s="5"/>
      <c r="R108" s="9"/>
    </row>
    <row r="109">
      <c r="A109" s="44"/>
      <c r="C109" s="5"/>
      <c r="E109" s="19"/>
      <c r="F109" s="5"/>
      <c r="H109" s="19"/>
      <c r="O109" s="5"/>
      <c r="Q109" s="5"/>
      <c r="R109" s="9"/>
    </row>
    <row r="110">
      <c r="A110" s="44"/>
      <c r="C110" s="5"/>
      <c r="E110" s="19"/>
      <c r="F110" s="5"/>
      <c r="H110" s="19"/>
      <c r="O110" s="5"/>
      <c r="Q110" s="5"/>
      <c r="R110" s="9"/>
    </row>
    <row r="111">
      <c r="A111" s="44"/>
      <c r="C111" s="5"/>
      <c r="E111" s="19"/>
      <c r="F111" s="5"/>
      <c r="H111" s="19"/>
      <c r="O111" s="5"/>
      <c r="Q111" s="5"/>
      <c r="R111" s="9"/>
    </row>
    <row r="112">
      <c r="A112" s="44"/>
      <c r="C112" s="5"/>
      <c r="E112" s="19"/>
      <c r="F112" s="5"/>
      <c r="H112" s="19"/>
      <c r="O112" s="5"/>
      <c r="Q112" s="5"/>
      <c r="R112" s="9"/>
    </row>
    <row r="113">
      <c r="A113" s="44"/>
      <c r="C113" s="5"/>
      <c r="E113" s="19"/>
      <c r="F113" s="5"/>
      <c r="H113" s="19"/>
      <c r="O113" s="5"/>
      <c r="Q113" s="5"/>
      <c r="R113" s="9"/>
    </row>
    <row r="114">
      <c r="A114" s="44"/>
      <c r="C114" s="5"/>
      <c r="E114" s="19"/>
      <c r="F114" s="5"/>
      <c r="H114" s="19"/>
      <c r="O114" s="5"/>
      <c r="Q114" s="5"/>
      <c r="R114" s="9"/>
    </row>
    <row r="115">
      <c r="A115" s="44"/>
      <c r="C115" s="5"/>
      <c r="E115" s="19"/>
      <c r="F115" s="5"/>
      <c r="H115" s="19"/>
      <c r="O115" s="5"/>
      <c r="Q115" s="5"/>
      <c r="R115" s="9"/>
    </row>
    <row r="116">
      <c r="A116" s="44"/>
      <c r="C116" s="5"/>
      <c r="E116" s="19"/>
      <c r="F116" s="5"/>
      <c r="H116" s="19"/>
      <c r="O116" s="5"/>
      <c r="Q116" s="5"/>
      <c r="R116" s="9"/>
    </row>
    <row r="117">
      <c r="A117" s="44"/>
      <c r="C117" s="5"/>
      <c r="E117" s="19"/>
      <c r="F117" s="5"/>
      <c r="H117" s="19"/>
      <c r="O117" s="5"/>
      <c r="Q117" s="5"/>
      <c r="R117" s="9"/>
    </row>
    <row r="118">
      <c r="A118" s="44"/>
      <c r="C118" s="5"/>
      <c r="E118" s="19"/>
      <c r="F118" s="5"/>
      <c r="H118" s="19"/>
      <c r="O118" s="5"/>
      <c r="Q118" s="5"/>
      <c r="R118" s="9"/>
    </row>
    <row r="119">
      <c r="A119" s="44"/>
      <c r="C119" s="5"/>
      <c r="E119" s="19"/>
      <c r="F119" s="5"/>
      <c r="H119" s="19"/>
      <c r="O119" s="5"/>
      <c r="Q119" s="5"/>
      <c r="R119" s="9"/>
    </row>
    <row r="120">
      <c r="A120" s="44"/>
      <c r="C120" s="5"/>
      <c r="E120" s="19"/>
      <c r="F120" s="5"/>
      <c r="H120" s="19"/>
      <c r="O120" s="5"/>
      <c r="Q120" s="5"/>
      <c r="R120" s="9"/>
    </row>
    <row r="121">
      <c r="A121" s="44"/>
      <c r="C121" s="5"/>
      <c r="E121" s="19"/>
      <c r="F121" s="5"/>
      <c r="H121" s="19"/>
      <c r="O121" s="5"/>
      <c r="Q121" s="5"/>
      <c r="R121" s="9"/>
    </row>
    <row r="122">
      <c r="A122" s="44"/>
      <c r="C122" s="5"/>
      <c r="E122" s="19"/>
      <c r="F122" s="5"/>
      <c r="H122" s="19"/>
      <c r="O122" s="5"/>
      <c r="Q122" s="5"/>
      <c r="R122" s="9"/>
    </row>
    <row r="123">
      <c r="A123" s="44"/>
      <c r="C123" s="5"/>
      <c r="E123" s="19"/>
      <c r="F123" s="5"/>
      <c r="H123" s="19"/>
      <c r="O123" s="5"/>
      <c r="Q123" s="5"/>
      <c r="R123" s="9"/>
    </row>
    <row r="124">
      <c r="A124" s="44"/>
      <c r="C124" s="5"/>
      <c r="E124" s="19"/>
      <c r="F124" s="5"/>
      <c r="H124" s="19"/>
      <c r="O124" s="5"/>
      <c r="Q124" s="5"/>
      <c r="R124" s="9"/>
    </row>
    <row r="125">
      <c r="A125" s="44"/>
      <c r="C125" s="5"/>
      <c r="E125" s="19"/>
      <c r="F125" s="5"/>
      <c r="H125" s="19"/>
      <c r="O125" s="5"/>
      <c r="Q125" s="5"/>
      <c r="R125" s="9"/>
    </row>
    <row r="126">
      <c r="A126" s="44"/>
      <c r="C126" s="5"/>
      <c r="E126" s="19"/>
      <c r="F126" s="5"/>
      <c r="H126" s="19"/>
      <c r="O126" s="5"/>
      <c r="Q126" s="5"/>
      <c r="R126" s="9"/>
    </row>
    <row r="127">
      <c r="A127" s="44"/>
      <c r="C127" s="5"/>
      <c r="E127" s="19"/>
      <c r="F127" s="5"/>
      <c r="H127" s="19"/>
      <c r="O127" s="5"/>
      <c r="Q127" s="5"/>
      <c r="R127" s="9"/>
    </row>
    <row r="128">
      <c r="A128" s="44"/>
      <c r="C128" s="5"/>
      <c r="E128" s="19"/>
      <c r="F128" s="5"/>
      <c r="H128" s="19"/>
      <c r="O128" s="5"/>
      <c r="Q128" s="5"/>
      <c r="R128" s="9"/>
    </row>
    <row r="129">
      <c r="A129" s="44"/>
      <c r="C129" s="5"/>
      <c r="E129" s="19"/>
      <c r="F129" s="5"/>
      <c r="H129" s="19"/>
      <c r="O129" s="5"/>
      <c r="Q129" s="5"/>
      <c r="R129" s="9"/>
    </row>
    <row r="130">
      <c r="A130" s="44"/>
      <c r="C130" s="5"/>
      <c r="E130" s="19"/>
      <c r="F130" s="5"/>
      <c r="H130" s="19"/>
      <c r="O130" s="5"/>
      <c r="Q130" s="5"/>
      <c r="R130" s="9"/>
    </row>
    <row r="131">
      <c r="A131" s="44"/>
      <c r="C131" s="5"/>
      <c r="E131" s="19"/>
      <c r="F131" s="5"/>
      <c r="H131" s="19"/>
      <c r="O131" s="5"/>
      <c r="Q131" s="5"/>
      <c r="R131" s="9"/>
    </row>
    <row r="132">
      <c r="A132" s="44"/>
      <c r="C132" s="5"/>
      <c r="E132" s="19"/>
      <c r="F132" s="5"/>
      <c r="H132" s="19"/>
      <c r="O132" s="5"/>
      <c r="Q132" s="5"/>
      <c r="R132" s="9"/>
    </row>
    <row r="133">
      <c r="A133" s="44"/>
      <c r="C133" s="5"/>
      <c r="E133" s="19"/>
      <c r="F133" s="5"/>
      <c r="H133" s="19"/>
      <c r="O133" s="5"/>
      <c r="Q133" s="5"/>
      <c r="R133" s="9"/>
    </row>
    <row r="134">
      <c r="A134" s="44"/>
      <c r="C134" s="5"/>
      <c r="E134" s="19"/>
      <c r="F134" s="5"/>
      <c r="H134" s="19"/>
      <c r="O134" s="5"/>
      <c r="Q134" s="5"/>
      <c r="R134" s="9"/>
    </row>
    <row r="135">
      <c r="A135" s="44"/>
      <c r="C135" s="5"/>
      <c r="E135" s="19"/>
      <c r="F135" s="5"/>
      <c r="H135" s="19"/>
      <c r="O135" s="5"/>
      <c r="Q135" s="5"/>
      <c r="R135" s="9"/>
    </row>
    <row r="136">
      <c r="A136" s="44"/>
      <c r="C136" s="5"/>
      <c r="E136" s="19"/>
      <c r="F136" s="5"/>
      <c r="H136" s="19"/>
      <c r="O136" s="5"/>
      <c r="Q136" s="5"/>
      <c r="R136" s="9"/>
    </row>
    <row r="137">
      <c r="A137" s="44"/>
      <c r="C137" s="5"/>
      <c r="E137" s="19"/>
      <c r="F137" s="5"/>
      <c r="H137" s="19"/>
      <c r="O137" s="5"/>
      <c r="Q137" s="5"/>
      <c r="R137" s="9"/>
    </row>
    <row r="138">
      <c r="A138" s="44"/>
      <c r="C138" s="5"/>
      <c r="E138" s="19"/>
      <c r="F138" s="5"/>
      <c r="H138" s="19"/>
      <c r="O138" s="5"/>
      <c r="Q138" s="5"/>
      <c r="R138" s="9"/>
    </row>
    <row r="139">
      <c r="A139" s="44"/>
      <c r="C139" s="5"/>
      <c r="E139" s="19"/>
      <c r="F139" s="5"/>
      <c r="H139" s="19"/>
      <c r="O139" s="5"/>
      <c r="Q139" s="5"/>
      <c r="R139" s="9"/>
    </row>
    <row r="140">
      <c r="A140" s="44"/>
      <c r="C140" s="5"/>
      <c r="E140" s="19"/>
      <c r="F140" s="5"/>
      <c r="H140" s="19"/>
      <c r="O140" s="5"/>
      <c r="Q140" s="5"/>
      <c r="R140" s="9"/>
    </row>
    <row r="141">
      <c r="A141" s="44"/>
      <c r="C141" s="5"/>
      <c r="E141" s="19"/>
      <c r="F141" s="5"/>
      <c r="H141" s="19"/>
      <c r="O141" s="5"/>
      <c r="Q141" s="5"/>
      <c r="R141" s="9"/>
    </row>
    <row r="142">
      <c r="A142" s="44"/>
      <c r="C142" s="5"/>
      <c r="E142" s="19"/>
      <c r="F142" s="5"/>
      <c r="H142" s="19"/>
      <c r="O142" s="5"/>
      <c r="Q142" s="5"/>
      <c r="R142" s="9"/>
    </row>
    <row r="143">
      <c r="A143" s="44"/>
      <c r="C143" s="5"/>
      <c r="E143" s="19"/>
      <c r="F143" s="5"/>
      <c r="H143" s="19"/>
      <c r="O143" s="5"/>
      <c r="Q143" s="5"/>
      <c r="R143" s="9"/>
    </row>
    <row r="144">
      <c r="A144" s="44"/>
      <c r="C144" s="5"/>
      <c r="E144" s="19"/>
      <c r="F144" s="5"/>
      <c r="H144" s="19"/>
      <c r="O144" s="5"/>
      <c r="Q144" s="5"/>
      <c r="R144" s="9"/>
    </row>
    <row r="145">
      <c r="A145" s="44"/>
      <c r="C145" s="5"/>
      <c r="E145" s="19"/>
      <c r="F145" s="5"/>
      <c r="H145" s="19"/>
      <c r="O145" s="5"/>
      <c r="Q145" s="5"/>
      <c r="R145" s="9"/>
    </row>
    <row r="146">
      <c r="A146" s="44"/>
      <c r="C146" s="5"/>
      <c r="E146" s="19"/>
      <c r="F146" s="5"/>
      <c r="H146" s="19"/>
      <c r="O146" s="5"/>
      <c r="Q146" s="5"/>
      <c r="R146" s="9"/>
    </row>
    <row r="147">
      <c r="A147" s="44"/>
      <c r="C147" s="5"/>
      <c r="E147" s="19"/>
      <c r="F147" s="5"/>
      <c r="H147" s="19"/>
      <c r="O147" s="5"/>
      <c r="Q147" s="5"/>
      <c r="R147" s="9"/>
    </row>
    <row r="148">
      <c r="A148" s="44"/>
      <c r="C148" s="5"/>
      <c r="E148" s="19"/>
      <c r="F148" s="5"/>
      <c r="H148" s="19"/>
      <c r="O148" s="5"/>
      <c r="Q148" s="5"/>
      <c r="R148" s="9"/>
    </row>
    <row r="149">
      <c r="A149" s="44"/>
      <c r="C149" s="5"/>
      <c r="E149" s="19"/>
      <c r="F149" s="5"/>
      <c r="H149" s="19"/>
      <c r="O149" s="5"/>
      <c r="Q149" s="5"/>
      <c r="R149" s="9"/>
    </row>
    <row r="150">
      <c r="A150" s="44"/>
      <c r="C150" s="5"/>
      <c r="E150" s="19"/>
      <c r="F150" s="5"/>
      <c r="H150" s="19"/>
      <c r="O150" s="5"/>
      <c r="Q150" s="5"/>
      <c r="R150" s="9"/>
    </row>
    <row r="151">
      <c r="A151" s="44"/>
      <c r="C151" s="5"/>
      <c r="E151" s="19"/>
      <c r="F151" s="5"/>
      <c r="H151" s="19"/>
      <c r="O151" s="5"/>
      <c r="Q151" s="5"/>
      <c r="R151" s="9"/>
    </row>
    <row r="152">
      <c r="A152" s="44"/>
      <c r="C152" s="5"/>
      <c r="E152" s="19"/>
      <c r="F152" s="5"/>
      <c r="H152" s="19"/>
      <c r="O152" s="5"/>
      <c r="Q152" s="5"/>
      <c r="R152" s="9"/>
    </row>
    <row r="153">
      <c r="A153" s="44"/>
      <c r="C153" s="5"/>
      <c r="E153" s="19"/>
      <c r="F153" s="5"/>
      <c r="H153" s="19"/>
      <c r="O153" s="5"/>
      <c r="Q153" s="5"/>
      <c r="R153" s="9"/>
    </row>
    <row r="154">
      <c r="A154" s="44"/>
      <c r="C154" s="5"/>
      <c r="E154" s="19"/>
      <c r="F154" s="5"/>
      <c r="H154" s="19"/>
      <c r="O154" s="5"/>
      <c r="Q154" s="5"/>
      <c r="R154" s="9"/>
    </row>
    <row r="155">
      <c r="A155" s="44"/>
      <c r="C155" s="5"/>
      <c r="E155" s="19"/>
      <c r="F155" s="5"/>
      <c r="H155" s="19"/>
      <c r="O155" s="5"/>
      <c r="Q155" s="5"/>
      <c r="R155" s="9"/>
    </row>
    <row r="156">
      <c r="A156" s="44"/>
      <c r="C156" s="5"/>
      <c r="E156" s="19"/>
      <c r="F156" s="5"/>
      <c r="H156" s="19"/>
      <c r="O156" s="5"/>
      <c r="Q156" s="5"/>
      <c r="R156" s="9"/>
    </row>
    <row r="157">
      <c r="A157" s="44"/>
      <c r="C157" s="5"/>
      <c r="E157" s="19"/>
      <c r="F157" s="5"/>
      <c r="H157" s="19"/>
      <c r="O157" s="5"/>
      <c r="Q157" s="5"/>
      <c r="R157" s="9"/>
    </row>
    <row r="158">
      <c r="A158" s="44"/>
      <c r="C158" s="5"/>
      <c r="E158" s="19"/>
      <c r="F158" s="5"/>
      <c r="H158" s="19"/>
      <c r="O158" s="5"/>
      <c r="Q158" s="5"/>
      <c r="R158" s="9"/>
    </row>
    <row r="159">
      <c r="A159" s="44"/>
      <c r="C159" s="5"/>
      <c r="E159" s="19"/>
      <c r="F159" s="5"/>
      <c r="H159" s="19"/>
      <c r="O159" s="5"/>
      <c r="Q159" s="5"/>
      <c r="R159" s="9"/>
    </row>
    <row r="160">
      <c r="A160" s="44"/>
      <c r="C160" s="5"/>
      <c r="E160" s="19"/>
      <c r="F160" s="5"/>
      <c r="H160" s="19"/>
      <c r="O160" s="5"/>
      <c r="Q160" s="5"/>
      <c r="R160" s="9"/>
    </row>
    <row r="161">
      <c r="A161" s="44"/>
      <c r="C161" s="5"/>
      <c r="E161" s="19"/>
      <c r="F161" s="5"/>
      <c r="H161" s="19"/>
      <c r="O161" s="5"/>
      <c r="Q161" s="5"/>
      <c r="R161" s="9"/>
    </row>
    <row r="162">
      <c r="A162" s="44"/>
      <c r="C162" s="5"/>
      <c r="E162" s="19"/>
      <c r="F162" s="5"/>
      <c r="H162" s="19"/>
      <c r="O162" s="5"/>
      <c r="Q162" s="5"/>
      <c r="R162" s="9"/>
    </row>
    <row r="163">
      <c r="A163" s="44"/>
      <c r="C163" s="5"/>
      <c r="E163" s="19"/>
      <c r="F163" s="5"/>
      <c r="H163" s="19"/>
      <c r="O163" s="5"/>
      <c r="Q163" s="5"/>
      <c r="R163" s="9"/>
    </row>
    <row r="164">
      <c r="A164" s="44"/>
      <c r="C164" s="5"/>
      <c r="E164" s="19"/>
      <c r="F164" s="5"/>
      <c r="H164" s="19"/>
      <c r="O164" s="5"/>
      <c r="Q164" s="5"/>
      <c r="R164" s="9"/>
    </row>
    <row r="165">
      <c r="A165" s="44"/>
      <c r="C165" s="5"/>
      <c r="E165" s="19"/>
      <c r="F165" s="5"/>
      <c r="H165" s="19"/>
      <c r="O165" s="5"/>
      <c r="Q165" s="5"/>
      <c r="R165" s="9"/>
    </row>
    <row r="166">
      <c r="A166" s="44"/>
      <c r="C166" s="5"/>
      <c r="E166" s="19"/>
      <c r="F166" s="5"/>
      <c r="H166" s="19"/>
      <c r="O166" s="5"/>
      <c r="Q166" s="5"/>
      <c r="R166" s="9"/>
    </row>
    <row r="167">
      <c r="A167" s="44"/>
      <c r="C167" s="5"/>
      <c r="E167" s="19"/>
      <c r="F167" s="5"/>
      <c r="H167" s="19"/>
      <c r="O167" s="5"/>
      <c r="Q167" s="5"/>
      <c r="R167" s="9"/>
    </row>
    <row r="168">
      <c r="A168" s="44"/>
      <c r="C168" s="5"/>
      <c r="E168" s="19"/>
      <c r="F168" s="5"/>
      <c r="H168" s="19"/>
      <c r="O168" s="5"/>
      <c r="Q168" s="5"/>
      <c r="R168" s="9"/>
    </row>
    <row r="169">
      <c r="A169" s="44"/>
      <c r="C169" s="5"/>
      <c r="E169" s="19"/>
      <c r="F169" s="5"/>
      <c r="H169" s="19"/>
      <c r="O169" s="5"/>
      <c r="Q169" s="5"/>
      <c r="R169" s="9"/>
    </row>
    <row r="170">
      <c r="A170" s="44"/>
      <c r="C170" s="5"/>
      <c r="E170" s="19"/>
      <c r="F170" s="5"/>
      <c r="H170" s="19"/>
      <c r="O170" s="5"/>
      <c r="Q170" s="5"/>
      <c r="R170" s="9"/>
    </row>
    <row r="171">
      <c r="A171" s="44"/>
      <c r="C171" s="5"/>
      <c r="E171" s="19"/>
      <c r="F171" s="5"/>
      <c r="H171" s="19"/>
      <c r="O171" s="5"/>
      <c r="Q171" s="5"/>
      <c r="R171" s="9"/>
    </row>
    <row r="172">
      <c r="A172" s="44"/>
      <c r="C172" s="5"/>
      <c r="E172" s="19"/>
      <c r="F172" s="5"/>
      <c r="H172" s="19"/>
      <c r="O172" s="5"/>
      <c r="Q172" s="5"/>
      <c r="R172" s="9"/>
    </row>
    <row r="173">
      <c r="A173" s="44"/>
      <c r="C173" s="5"/>
      <c r="E173" s="19"/>
      <c r="F173" s="5"/>
      <c r="H173" s="19"/>
      <c r="O173" s="5"/>
      <c r="Q173" s="5"/>
      <c r="R173" s="9"/>
    </row>
    <row r="174">
      <c r="A174" s="44"/>
      <c r="C174" s="5"/>
      <c r="E174" s="19"/>
      <c r="F174" s="5"/>
      <c r="H174" s="19"/>
      <c r="O174" s="5"/>
      <c r="Q174" s="5"/>
      <c r="R174" s="9"/>
    </row>
    <row r="175">
      <c r="A175" s="44"/>
      <c r="C175" s="5"/>
      <c r="E175" s="19"/>
      <c r="F175" s="5"/>
      <c r="H175" s="19"/>
      <c r="O175" s="5"/>
      <c r="Q175" s="5"/>
      <c r="R175" s="9"/>
    </row>
    <row r="176">
      <c r="A176" s="44"/>
      <c r="C176" s="5"/>
      <c r="E176" s="19"/>
      <c r="F176" s="5"/>
      <c r="H176" s="19"/>
      <c r="O176" s="5"/>
      <c r="Q176" s="5"/>
      <c r="R176" s="9"/>
    </row>
    <row r="177">
      <c r="A177" s="44"/>
      <c r="C177" s="5"/>
      <c r="E177" s="19"/>
      <c r="F177" s="5"/>
      <c r="H177" s="19"/>
      <c r="O177" s="5"/>
      <c r="Q177" s="5"/>
      <c r="R177" s="9"/>
    </row>
    <row r="178">
      <c r="A178" s="44"/>
      <c r="C178" s="5"/>
      <c r="E178" s="19"/>
      <c r="F178" s="5"/>
      <c r="H178" s="19"/>
      <c r="O178" s="5"/>
      <c r="Q178" s="5"/>
      <c r="R178" s="9"/>
    </row>
    <row r="179">
      <c r="A179" s="44"/>
      <c r="C179" s="5"/>
      <c r="E179" s="19"/>
      <c r="F179" s="5"/>
      <c r="H179" s="19"/>
      <c r="O179" s="5"/>
      <c r="Q179" s="5"/>
      <c r="R179" s="9"/>
    </row>
    <row r="180">
      <c r="A180" s="44"/>
      <c r="C180" s="5"/>
      <c r="E180" s="19"/>
      <c r="F180" s="5"/>
      <c r="H180" s="19"/>
      <c r="O180" s="5"/>
      <c r="Q180" s="5"/>
      <c r="R180" s="9"/>
    </row>
    <row r="181">
      <c r="A181" s="44"/>
      <c r="C181" s="5"/>
      <c r="E181" s="19"/>
      <c r="F181" s="5"/>
      <c r="H181" s="19"/>
      <c r="O181" s="5"/>
      <c r="Q181" s="5"/>
      <c r="R181" s="9"/>
    </row>
    <row r="182">
      <c r="A182" s="44"/>
      <c r="C182" s="5"/>
      <c r="E182" s="19"/>
      <c r="F182" s="5"/>
      <c r="H182" s="19"/>
      <c r="O182" s="5"/>
      <c r="Q182" s="5"/>
      <c r="R182" s="9"/>
    </row>
    <row r="183">
      <c r="A183" s="44"/>
      <c r="C183" s="5"/>
      <c r="E183" s="19"/>
      <c r="F183" s="5"/>
      <c r="H183" s="19"/>
      <c r="O183" s="5"/>
      <c r="Q183" s="5"/>
      <c r="R183" s="9"/>
    </row>
    <row r="184">
      <c r="A184" s="44"/>
      <c r="C184" s="5"/>
      <c r="E184" s="19"/>
      <c r="F184" s="5"/>
      <c r="H184" s="19"/>
      <c r="O184" s="5"/>
      <c r="Q184" s="5"/>
      <c r="R184" s="9"/>
    </row>
    <row r="185">
      <c r="A185" s="44"/>
      <c r="C185" s="5"/>
      <c r="E185" s="19"/>
      <c r="F185" s="5"/>
      <c r="H185" s="19"/>
      <c r="O185" s="5"/>
      <c r="Q185" s="5"/>
      <c r="R185" s="9"/>
    </row>
    <row r="186">
      <c r="A186" s="44"/>
      <c r="C186" s="5"/>
      <c r="E186" s="19"/>
      <c r="F186" s="5"/>
      <c r="H186" s="19"/>
      <c r="O186" s="5"/>
      <c r="Q186" s="5"/>
      <c r="R186" s="9"/>
    </row>
    <row r="187">
      <c r="A187" s="44"/>
      <c r="C187" s="5"/>
      <c r="E187" s="19"/>
      <c r="F187" s="5"/>
      <c r="H187" s="19"/>
      <c r="O187" s="5"/>
      <c r="Q187" s="5"/>
      <c r="R187" s="9"/>
    </row>
    <row r="188">
      <c r="A188" s="44"/>
      <c r="C188" s="5"/>
      <c r="E188" s="19"/>
      <c r="F188" s="5"/>
      <c r="H188" s="19"/>
      <c r="O188" s="5"/>
      <c r="Q188" s="5"/>
      <c r="R188" s="9"/>
    </row>
    <row r="189">
      <c r="A189" s="44"/>
      <c r="C189" s="5"/>
      <c r="E189" s="19"/>
      <c r="F189" s="5"/>
      <c r="H189" s="19"/>
      <c r="O189" s="5"/>
      <c r="Q189" s="5"/>
      <c r="R189" s="9"/>
    </row>
    <row r="190">
      <c r="A190" s="44"/>
      <c r="C190" s="5"/>
      <c r="E190" s="19"/>
      <c r="F190" s="5"/>
      <c r="H190" s="19"/>
      <c r="O190" s="5"/>
      <c r="Q190" s="5"/>
      <c r="R190" s="9"/>
    </row>
    <row r="191">
      <c r="A191" s="44"/>
      <c r="C191" s="5"/>
      <c r="E191" s="19"/>
      <c r="F191" s="5"/>
      <c r="H191" s="19"/>
      <c r="O191" s="5"/>
      <c r="Q191" s="5"/>
      <c r="R191" s="9"/>
    </row>
    <row r="192">
      <c r="A192" s="44"/>
      <c r="C192" s="5"/>
      <c r="E192" s="19"/>
      <c r="F192" s="5"/>
      <c r="H192" s="19"/>
      <c r="O192" s="5"/>
      <c r="Q192" s="5"/>
      <c r="R192" s="9"/>
    </row>
    <row r="193">
      <c r="A193" s="44"/>
      <c r="C193" s="5"/>
      <c r="E193" s="19"/>
      <c r="F193" s="5"/>
      <c r="H193" s="19"/>
      <c r="O193" s="5"/>
      <c r="Q193" s="5"/>
      <c r="R193" s="9"/>
    </row>
    <row r="194">
      <c r="A194" s="44"/>
      <c r="C194" s="5"/>
      <c r="E194" s="19"/>
      <c r="F194" s="5"/>
      <c r="H194" s="19"/>
      <c r="O194" s="5"/>
      <c r="Q194" s="5"/>
      <c r="R194" s="9"/>
    </row>
    <row r="195">
      <c r="A195" s="44"/>
      <c r="C195" s="5"/>
      <c r="E195" s="19"/>
      <c r="F195" s="5"/>
      <c r="H195" s="19"/>
      <c r="O195" s="5"/>
      <c r="Q195" s="5"/>
      <c r="R195" s="9"/>
    </row>
    <row r="196">
      <c r="A196" s="44"/>
      <c r="C196" s="5"/>
      <c r="E196" s="19"/>
      <c r="F196" s="5"/>
      <c r="H196" s="19"/>
      <c r="O196" s="5"/>
      <c r="Q196" s="5"/>
      <c r="R196" s="9"/>
    </row>
    <row r="197">
      <c r="A197" s="44"/>
      <c r="C197" s="5"/>
      <c r="E197" s="19"/>
      <c r="F197" s="5"/>
      <c r="H197" s="19"/>
      <c r="O197" s="5"/>
      <c r="Q197" s="5"/>
      <c r="R197" s="9"/>
    </row>
    <row r="198">
      <c r="A198" s="44"/>
      <c r="C198" s="5"/>
      <c r="E198" s="19"/>
      <c r="F198" s="5"/>
      <c r="H198" s="19"/>
      <c r="O198" s="5"/>
      <c r="Q198" s="5"/>
      <c r="R198" s="9"/>
    </row>
    <row r="199">
      <c r="A199" s="44"/>
      <c r="C199" s="5"/>
      <c r="E199" s="19"/>
      <c r="F199" s="5"/>
      <c r="H199" s="19"/>
      <c r="O199" s="5"/>
      <c r="Q199" s="5"/>
      <c r="R199" s="9"/>
    </row>
    <row r="200">
      <c r="A200" s="44"/>
      <c r="C200" s="5"/>
      <c r="E200" s="19"/>
      <c r="F200" s="5"/>
      <c r="H200" s="19"/>
      <c r="O200" s="5"/>
      <c r="Q200" s="5"/>
      <c r="R200" s="9"/>
    </row>
    <row r="201">
      <c r="A201" s="44"/>
      <c r="C201" s="5"/>
      <c r="E201" s="19"/>
      <c r="F201" s="5"/>
      <c r="H201" s="19"/>
      <c r="O201" s="5"/>
      <c r="Q201" s="5"/>
      <c r="R201" s="9"/>
    </row>
    <row r="202">
      <c r="A202" s="44"/>
      <c r="C202" s="5"/>
      <c r="E202" s="19"/>
      <c r="F202" s="5"/>
      <c r="H202" s="19"/>
      <c r="O202" s="5"/>
      <c r="Q202" s="5"/>
      <c r="R202" s="9"/>
    </row>
    <row r="203">
      <c r="A203" s="44"/>
      <c r="C203" s="5"/>
      <c r="E203" s="19"/>
      <c r="F203" s="5"/>
      <c r="H203" s="19"/>
      <c r="O203" s="5"/>
      <c r="Q203" s="5"/>
      <c r="R203" s="9"/>
    </row>
    <row r="204">
      <c r="A204" s="44"/>
      <c r="C204" s="5"/>
      <c r="E204" s="19"/>
      <c r="F204" s="5"/>
      <c r="H204" s="19"/>
      <c r="O204" s="5"/>
      <c r="Q204" s="5"/>
      <c r="R204" s="9"/>
    </row>
    <row r="205">
      <c r="A205" s="44"/>
      <c r="C205" s="5"/>
      <c r="E205" s="19"/>
      <c r="F205" s="5"/>
      <c r="H205" s="19"/>
      <c r="O205" s="5"/>
      <c r="Q205" s="5"/>
      <c r="R205" s="9"/>
    </row>
    <row r="206">
      <c r="A206" s="44"/>
      <c r="C206" s="5"/>
      <c r="E206" s="19"/>
      <c r="F206" s="5"/>
      <c r="H206" s="19"/>
      <c r="O206" s="5"/>
      <c r="Q206" s="5"/>
      <c r="R206" s="9"/>
    </row>
    <row r="207">
      <c r="A207" s="44"/>
      <c r="C207" s="5"/>
      <c r="E207" s="19"/>
      <c r="F207" s="5"/>
      <c r="H207" s="19"/>
      <c r="O207" s="5"/>
      <c r="Q207" s="5"/>
      <c r="R207" s="9"/>
    </row>
    <row r="208">
      <c r="A208" s="44"/>
      <c r="C208" s="5"/>
      <c r="E208" s="19"/>
      <c r="F208" s="5"/>
      <c r="H208" s="19"/>
      <c r="O208" s="5"/>
      <c r="Q208" s="5"/>
      <c r="R208" s="9"/>
    </row>
    <row r="209">
      <c r="A209" s="44"/>
      <c r="C209" s="5"/>
      <c r="E209" s="19"/>
      <c r="F209" s="5"/>
      <c r="H209" s="19"/>
      <c r="O209" s="5"/>
      <c r="Q209" s="5"/>
      <c r="R209" s="9"/>
    </row>
    <row r="210">
      <c r="A210" s="44"/>
      <c r="C210" s="5"/>
      <c r="E210" s="19"/>
      <c r="F210" s="5"/>
      <c r="H210" s="19"/>
      <c r="O210" s="5"/>
      <c r="Q210" s="5"/>
      <c r="R210" s="9"/>
    </row>
    <row r="211">
      <c r="A211" s="44"/>
      <c r="C211" s="5"/>
      <c r="E211" s="19"/>
      <c r="F211" s="5"/>
      <c r="H211" s="19"/>
      <c r="O211" s="5"/>
      <c r="Q211" s="5"/>
      <c r="R211" s="9"/>
    </row>
    <row r="212">
      <c r="A212" s="44"/>
      <c r="C212" s="5"/>
      <c r="E212" s="19"/>
      <c r="F212" s="5"/>
      <c r="H212" s="19"/>
      <c r="O212" s="5"/>
      <c r="Q212" s="5"/>
      <c r="R212" s="9"/>
    </row>
    <row r="213">
      <c r="A213" s="44"/>
      <c r="C213" s="5"/>
      <c r="E213" s="19"/>
      <c r="F213" s="5"/>
      <c r="H213" s="19"/>
      <c r="O213" s="5"/>
      <c r="Q213" s="5"/>
      <c r="R213" s="9"/>
    </row>
    <row r="214">
      <c r="A214" s="44"/>
      <c r="C214" s="5"/>
      <c r="E214" s="19"/>
      <c r="F214" s="5"/>
      <c r="H214" s="19"/>
      <c r="O214" s="5"/>
      <c r="Q214" s="5"/>
      <c r="R214" s="9"/>
    </row>
    <row r="215">
      <c r="A215" s="44"/>
      <c r="C215" s="5"/>
      <c r="E215" s="19"/>
      <c r="F215" s="5"/>
      <c r="H215" s="19"/>
      <c r="O215" s="5"/>
      <c r="Q215" s="5"/>
      <c r="R215" s="9"/>
    </row>
    <row r="216">
      <c r="A216" s="44"/>
      <c r="C216" s="5"/>
      <c r="E216" s="19"/>
      <c r="F216" s="5"/>
      <c r="H216" s="19"/>
      <c r="O216" s="5"/>
      <c r="Q216" s="5"/>
      <c r="R216" s="9"/>
    </row>
    <row r="217">
      <c r="A217" s="44"/>
      <c r="C217" s="5"/>
      <c r="E217" s="19"/>
      <c r="F217" s="5"/>
      <c r="H217" s="19"/>
      <c r="O217" s="5"/>
      <c r="Q217" s="5"/>
      <c r="R217" s="9"/>
    </row>
    <row r="218">
      <c r="A218" s="44"/>
      <c r="C218" s="5"/>
      <c r="E218" s="19"/>
      <c r="F218" s="5"/>
      <c r="H218" s="19"/>
      <c r="O218" s="5"/>
      <c r="Q218" s="5"/>
      <c r="R218" s="9"/>
    </row>
    <row r="219">
      <c r="A219" s="44"/>
      <c r="C219" s="5"/>
      <c r="E219" s="19"/>
      <c r="F219" s="5"/>
      <c r="H219" s="19"/>
      <c r="O219" s="5"/>
      <c r="Q219" s="5"/>
      <c r="R219" s="9"/>
    </row>
    <row r="220">
      <c r="A220" s="44"/>
      <c r="C220" s="5"/>
      <c r="E220" s="19"/>
      <c r="F220" s="5"/>
      <c r="H220" s="19"/>
      <c r="O220" s="5"/>
      <c r="Q220" s="5"/>
      <c r="R220" s="9"/>
    </row>
    <row r="221">
      <c r="A221" s="44"/>
      <c r="C221" s="5"/>
      <c r="E221" s="19"/>
      <c r="F221" s="5"/>
      <c r="H221" s="19"/>
      <c r="O221" s="5"/>
      <c r="Q221" s="5"/>
      <c r="R221" s="9"/>
    </row>
    <row r="222">
      <c r="A222" s="44"/>
      <c r="C222" s="5"/>
      <c r="E222" s="19"/>
      <c r="F222" s="5"/>
      <c r="H222" s="19"/>
      <c r="O222" s="5"/>
      <c r="Q222" s="5"/>
      <c r="R222" s="9"/>
    </row>
    <row r="223">
      <c r="A223" s="44"/>
      <c r="C223" s="5"/>
      <c r="E223" s="19"/>
      <c r="F223" s="5"/>
      <c r="H223" s="19"/>
      <c r="O223" s="5"/>
      <c r="Q223" s="5"/>
      <c r="R223" s="9"/>
    </row>
    <row r="224">
      <c r="A224" s="44"/>
      <c r="C224" s="5"/>
      <c r="E224" s="19"/>
      <c r="F224" s="5"/>
      <c r="H224" s="19"/>
      <c r="O224" s="5"/>
      <c r="Q224" s="5"/>
      <c r="R224" s="9"/>
    </row>
    <row r="225">
      <c r="A225" s="44"/>
      <c r="C225" s="5"/>
      <c r="E225" s="19"/>
      <c r="F225" s="5"/>
      <c r="H225" s="19"/>
      <c r="O225" s="5"/>
      <c r="Q225" s="5"/>
      <c r="R225" s="9"/>
    </row>
    <row r="226">
      <c r="A226" s="44"/>
      <c r="C226" s="5"/>
      <c r="E226" s="19"/>
      <c r="F226" s="5"/>
      <c r="H226" s="19"/>
      <c r="O226" s="5"/>
      <c r="Q226" s="5"/>
      <c r="R226" s="9"/>
    </row>
    <row r="227">
      <c r="A227" s="44"/>
      <c r="C227" s="5"/>
      <c r="E227" s="19"/>
      <c r="F227" s="5"/>
      <c r="H227" s="19"/>
      <c r="O227" s="5"/>
      <c r="Q227" s="5"/>
      <c r="R227" s="9"/>
    </row>
    <row r="228">
      <c r="A228" s="44"/>
      <c r="C228" s="5"/>
      <c r="E228" s="19"/>
      <c r="F228" s="5"/>
      <c r="H228" s="19"/>
      <c r="O228" s="5"/>
      <c r="Q228" s="5"/>
      <c r="R228" s="9"/>
    </row>
    <row r="229">
      <c r="A229" s="44"/>
      <c r="C229" s="5"/>
      <c r="E229" s="19"/>
      <c r="F229" s="5"/>
      <c r="H229" s="19"/>
      <c r="O229" s="5"/>
      <c r="Q229" s="5"/>
      <c r="R229" s="9"/>
    </row>
    <row r="230">
      <c r="A230" s="44"/>
      <c r="C230" s="5"/>
      <c r="E230" s="19"/>
      <c r="F230" s="5"/>
      <c r="H230" s="19"/>
      <c r="O230" s="5"/>
      <c r="Q230" s="5"/>
      <c r="R230" s="9"/>
    </row>
    <row r="231">
      <c r="A231" s="44"/>
      <c r="C231" s="5"/>
      <c r="E231" s="19"/>
      <c r="F231" s="5"/>
      <c r="H231" s="19"/>
      <c r="O231" s="5"/>
      <c r="Q231" s="5"/>
      <c r="R231" s="9"/>
    </row>
    <row r="232">
      <c r="A232" s="44"/>
      <c r="C232" s="5"/>
      <c r="E232" s="19"/>
      <c r="F232" s="5"/>
      <c r="H232" s="19"/>
      <c r="O232" s="5"/>
      <c r="Q232" s="5"/>
      <c r="R232" s="9"/>
    </row>
    <row r="233">
      <c r="A233" s="44"/>
      <c r="C233" s="5"/>
      <c r="E233" s="19"/>
      <c r="F233" s="5"/>
      <c r="H233" s="19"/>
      <c r="O233" s="5"/>
      <c r="Q233" s="5"/>
      <c r="R233" s="9"/>
    </row>
    <row r="234">
      <c r="A234" s="44"/>
      <c r="C234" s="5"/>
      <c r="E234" s="19"/>
      <c r="F234" s="5"/>
      <c r="H234" s="19"/>
      <c r="O234" s="5"/>
      <c r="Q234" s="5"/>
      <c r="R234" s="9"/>
    </row>
    <row r="235">
      <c r="A235" s="44"/>
      <c r="C235" s="5"/>
      <c r="E235" s="19"/>
      <c r="F235" s="5"/>
      <c r="H235" s="19"/>
      <c r="O235" s="5"/>
      <c r="Q235" s="5"/>
      <c r="R235" s="9"/>
    </row>
    <row r="236">
      <c r="A236" s="44"/>
      <c r="C236" s="5"/>
      <c r="E236" s="19"/>
      <c r="F236" s="5"/>
      <c r="H236" s="19"/>
      <c r="O236" s="5"/>
      <c r="Q236" s="5"/>
      <c r="R236" s="9"/>
    </row>
    <row r="237">
      <c r="A237" s="44"/>
      <c r="C237" s="5"/>
      <c r="E237" s="19"/>
      <c r="F237" s="5"/>
      <c r="H237" s="19"/>
      <c r="O237" s="5"/>
      <c r="Q237" s="5"/>
      <c r="R237" s="9"/>
    </row>
    <row r="238">
      <c r="A238" s="44"/>
      <c r="C238" s="5"/>
      <c r="E238" s="19"/>
      <c r="F238" s="5"/>
      <c r="H238" s="19"/>
      <c r="O238" s="5"/>
      <c r="Q238" s="5"/>
      <c r="R238" s="9"/>
    </row>
    <row r="239">
      <c r="A239" s="44"/>
      <c r="C239" s="5"/>
      <c r="E239" s="19"/>
      <c r="F239" s="5"/>
      <c r="H239" s="19"/>
      <c r="O239" s="5"/>
      <c r="Q239" s="5"/>
      <c r="R239" s="9"/>
    </row>
    <row r="240">
      <c r="A240" s="44"/>
      <c r="C240" s="5"/>
      <c r="E240" s="19"/>
      <c r="F240" s="5"/>
      <c r="H240" s="19"/>
      <c r="O240" s="5"/>
      <c r="Q240" s="5"/>
      <c r="R240" s="9"/>
    </row>
    <row r="241">
      <c r="A241" s="44"/>
      <c r="C241" s="5"/>
      <c r="E241" s="19"/>
      <c r="F241" s="5"/>
      <c r="H241" s="19"/>
      <c r="O241" s="5"/>
      <c r="Q241" s="5"/>
      <c r="R241" s="9"/>
    </row>
    <row r="242">
      <c r="A242" s="44"/>
      <c r="C242" s="5"/>
      <c r="E242" s="19"/>
      <c r="F242" s="5"/>
      <c r="H242" s="19"/>
      <c r="O242" s="5"/>
      <c r="Q242" s="5"/>
      <c r="R242" s="9"/>
    </row>
    <row r="243">
      <c r="A243" s="44"/>
      <c r="C243" s="5"/>
      <c r="E243" s="19"/>
      <c r="F243" s="5"/>
      <c r="H243" s="19"/>
      <c r="O243" s="5"/>
      <c r="Q243" s="5"/>
      <c r="R243" s="9"/>
    </row>
    <row r="244">
      <c r="A244" s="44"/>
      <c r="C244" s="5"/>
      <c r="E244" s="19"/>
      <c r="F244" s="5"/>
      <c r="H244" s="19"/>
      <c r="O244" s="5"/>
      <c r="Q244" s="5"/>
      <c r="R244" s="9"/>
    </row>
    <row r="245">
      <c r="A245" s="44"/>
      <c r="C245" s="5"/>
      <c r="E245" s="19"/>
      <c r="F245" s="5"/>
      <c r="H245" s="19"/>
      <c r="O245" s="5"/>
      <c r="Q245" s="5"/>
      <c r="R245" s="9"/>
    </row>
    <row r="246">
      <c r="A246" s="44"/>
      <c r="C246" s="5"/>
      <c r="E246" s="19"/>
      <c r="F246" s="5"/>
      <c r="H246" s="19"/>
      <c r="O246" s="5"/>
      <c r="Q246" s="5"/>
      <c r="R246" s="9"/>
    </row>
    <row r="247">
      <c r="A247" s="44"/>
      <c r="C247" s="5"/>
      <c r="E247" s="19"/>
      <c r="F247" s="5"/>
      <c r="H247" s="19"/>
      <c r="O247" s="5"/>
      <c r="Q247" s="5"/>
      <c r="R247" s="9"/>
    </row>
    <row r="248">
      <c r="A248" s="44"/>
      <c r="C248" s="5"/>
      <c r="E248" s="19"/>
      <c r="F248" s="5"/>
      <c r="H248" s="19"/>
      <c r="O248" s="5"/>
      <c r="Q248" s="5"/>
      <c r="R248" s="9"/>
    </row>
    <row r="249">
      <c r="A249" s="44"/>
      <c r="C249" s="5"/>
      <c r="E249" s="19"/>
      <c r="F249" s="5"/>
      <c r="H249" s="19"/>
      <c r="O249" s="5"/>
      <c r="Q249" s="5"/>
      <c r="R249" s="9"/>
    </row>
    <row r="250">
      <c r="A250" s="44"/>
      <c r="C250" s="5"/>
      <c r="E250" s="19"/>
      <c r="F250" s="5"/>
      <c r="H250" s="19"/>
      <c r="O250" s="5"/>
      <c r="Q250" s="5"/>
      <c r="R250" s="9"/>
    </row>
    <row r="251">
      <c r="A251" s="44"/>
      <c r="C251" s="5"/>
      <c r="E251" s="19"/>
      <c r="F251" s="5"/>
      <c r="H251" s="19"/>
      <c r="O251" s="5"/>
      <c r="Q251" s="5"/>
      <c r="R251" s="9"/>
    </row>
    <row r="252">
      <c r="A252" s="44"/>
      <c r="C252" s="5"/>
      <c r="E252" s="19"/>
      <c r="F252" s="5"/>
      <c r="H252" s="19"/>
      <c r="O252" s="5"/>
      <c r="Q252" s="5"/>
      <c r="R252" s="9"/>
    </row>
    <row r="253">
      <c r="A253" s="44"/>
      <c r="C253" s="5"/>
      <c r="E253" s="19"/>
      <c r="F253" s="5"/>
      <c r="H253" s="19"/>
      <c r="O253" s="5"/>
      <c r="Q253" s="5"/>
      <c r="R253" s="9"/>
    </row>
    <row r="254">
      <c r="A254" s="44"/>
      <c r="C254" s="5"/>
      <c r="E254" s="19"/>
      <c r="F254" s="5"/>
      <c r="H254" s="19"/>
      <c r="O254" s="5"/>
      <c r="Q254" s="5"/>
      <c r="R254" s="9"/>
    </row>
    <row r="255">
      <c r="A255" s="44"/>
      <c r="C255" s="5"/>
      <c r="E255" s="19"/>
      <c r="F255" s="5"/>
      <c r="H255" s="19"/>
      <c r="O255" s="5"/>
      <c r="Q255" s="5"/>
      <c r="R255" s="9"/>
    </row>
    <row r="256">
      <c r="A256" s="44"/>
      <c r="C256" s="5"/>
      <c r="E256" s="19"/>
      <c r="F256" s="5"/>
      <c r="H256" s="19"/>
      <c r="O256" s="5"/>
      <c r="Q256" s="5"/>
      <c r="R256" s="9"/>
    </row>
    <row r="257">
      <c r="A257" s="44"/>
      <c r="C257" s="5"/>
      <c r="E257" s="19"/>
      <c r="F257" s="5"/>
      <c r="H257" s="19"/>
      <c r="O257" s="5"/>
      <c r="Q257" s="5"/>
      <c r="R257" s="9"/>
    </row>
    <row r="258">
      <c r="A258" s="44"/>
      <c r="C258" s="5"/>
      <c r="E258" s="19"/>
      <c r="F258" s="5"/>
      <c r="H258" s="19"/>
      <c r="O258" s="5"/>
      <c r="Q258" s="5"/>
      <c r="R258" s="9"/>
    </row>
    <row r="259">
      <c r="A259" s="44"/>
      <c r="C259" s="5"/>
      <c r="E259" s="19"/>
      <c r="F259" s="5"/>
      <c r="H259" s="19"/>
      <c r="O259" s="5"/>
      <c r="Q259" s="5"/>
      <c r="R259" s="9"/>
    </row>
    <row r="260">
      <c r="A260" s="44"/>
      <c r="C260" s="5"/>
      <c r="E260" s="19"/>
      <c r="F260" s="5"/>
      <c r="H260" s="19"/>
      <c r="O260" s="5"/>
      <c r="Q260" s="5"/>
      <c r="R260" s="9"/>
    </row>
    <row r="261">
      <c r="A261" s="44"/>
      <c r="C261" s="5"/>
      <c r="E261" s="19"/>
      <c r="F261" s="5"/>
      <c r="H261" s="19"/>
      <c r="O261" s="5"/>
      <c r="Q261" s="5"/>
      <c r="R261" s="9"/>
    </row>
    <row r="262">
      <c r="A262" s="44"/>
      <c r="C262" s="5"/>
      <c r="E262" s="19"/>
      <c r="F262" s="5"/>
      <c r="H262" s="19"/>
      <c r="O262" s="5"/>
      <c r="Q262" s="5"/>
      <c r="R262" s="9"/>
    </row>
    <row r="263">
      <c r="A263" s="44"/>
      <c r="C263" s="5"/>
      <c r="E263" s="19"/>
      <c r="F263" s="5"/>
      <c r="H263" s="19"/>
      <c r="O263" s="5"/>
      <c r="Q263" s="5"/>
      <c r="R263" s="9"/>
    </row>
    <row r="264">
      <c r="A264" s="44"/>
      <c r="C264" s="5"/>
      <c r="E264" s="19"/>
      <c r="F264" s="5"/>
      <c r="H264" s="19"/>
      <c r="O264" s="5"/>
      <c r="Q264" s="5"/>
      <c r="R264" s="9"/>
    </row>
    <row r="265">
      <c r="A265" s="44"/>
      <c r="C265" s="5"/>
      <c r="E265" s="19"/>
      <c r="F265" s="5"/>
      <c r="H265" s="19"/>
      <c r="O265" s="5"/>
      <c r="Q265" s="5"/>
      <c r="R265" s="9"/>
    </row>
    <row r="266">
      <c r="A266" s="44"/>
      <c r="C266" s="5"/>
      <c r="E266" s="19"/>
      <c r="F266" s="5"/>
      <c r="H266" s="19"/>
      <c r="O266" s="5"/>
      <c r="Q266" s="5"/>
      <c r="R266" s="9"/>
    </row>
    <row r="267">
      <c r="A267" s="44"/>
      <c r="C267" s="5"/>
      <c r="E267" s="19"/>
      <c r="F267" s="5"/>
      <c r="H267" s="19"/>
      <c r="O267" s="5"/>
      <c r="Q267" s="5"/>
      <c r="R267" s="9"/>
    </row>
    <row r="268">
      <c r="A268" s="44"/>
      <c r="C268" s="5"/>
      <c r="E268" s="19"/>
      <c r="F268" s="5"/>
      <c r="H268" s="19"/>
      <c r="O268" s="5"/>
      <c r="Q268" s="5"/>
      <c r="R268" s="9"/>
    </row>
    <row r="269">
      <c r="A269" s="44"/>
      <c r="C269" s="5"/>
      <c r="E269" s="19"/>
      <c r="F269" s="5"/>
      <c r="H269" s="19"/>
      <c r="O269" s="5"/>
      <c r="Q269" s="5"/>
      <c r="R269" s="9"/>
    </row>
    <row r="270">
      <c r="A270" s="44"/>
      <c r="C270" s="5"/>
      <c r="E270" s="19"/>
      <c r="F270" s="5"/>
      <c r="H270" s="19"/>
      <c r="O270" s="5"/>
      <c r="Q270" s="5"/>
      <c r="R270" s="9"/>
    </row>
    <row r="271">
      <c r="A271" s="44"/>
      <c r="C271" s="5"/>
      <c r="E271" s="19"/>
      <c r="F271" s="5"/>
      <c r="H271" s="19"/>
      <c r="O271" s="5"/>
      <c r="Q271" s="5"/>
      <c r="R271" s="9"/>
    </row>
    <row r="272">
      <c r="A272" s="44"/>
      <c r="C272" s="5"/>
      <c r="E272" s="19"/>
      <c r="F272" s="5"/>
      <c r="H272" s="19"/>
      <c r="O272" s="5"/>
      <c r="Q272" s="5"/>
      <c r="R272" s="9"/>
    </row>
    <row r="273">
      <c r="A273" s="44"/>
      <c r="C273" s="5"/>
      <c r="E273" s="19"/>
      <c r="F273" s="5"/>
      <c r="H273" s="19"/>
      <c r="O273" s="5"/>
      <c r="Q273" s="5"/>
      <c r="R273" s="9"/>
    </row>
    <row r="274">
      <c r="A274" s="44"/>
      <c r="C274" s="5"/>
      <c r="E274" s="19"/>
      <c r="F274" s="5"/>
      <c r="H274" s="19"/>
      <c r="O274" s="5"/>
      <c r="Q274" s="5"/>
      <c r="R274" s="9"/>
    </row>
    <row r="275">
      <c r="A275" s="44"/>
      <c r="C275" s="5"/>
      <c r="E275" s="19"/>
      <c r="F275" s="5"/>
      <c r="H275" s="19"/>
      <c r="O275" s="5"/>
      <c r="Q275" s="5"/>
      <c r="R275" s="9"/>
    </row>
    <row r="276">
      <c r="A276" s="44"/>
      <c r="C276" s="5"/>
      <c r="E276" s="19"/>
      <c r="F276" s="5"/>
      <c r="H276" s="19"/>
      <c r="O276" s="5"/>
      <c r="Q276" s="5"/>
      <c r="R276" s="9"/>
    </row>
    <row r="277">
      <c r="A277" s="44"/>
      <c r="C277" s="5"/>
      <c r="E277" s="19"/>
      <c r="F277" s="5"/>
      <c r="H277" s="19"/>
      <c r="O277" s="5"/>
      <c r="Q277" s="5"/>
      <c r="R277" s="9"/>
    </row>
    <row r="278">
      <c r="A278" s="44"/>
      <c r="C278" s="5"/>
      <c r="E278" s="19"/>
      <c r="F278" s="5"/>
      <c r="H278" s="19"/>
      <c r="O278" s="5"/>
      <c r="Q278" s="5"/>
      <c r="R278" s="9"/>
    </row>
    <row r="279">
      <c r="A279" s="44"/>
      <c r="C279" s="5"/>
      <c r="E279" s="19"/>
      <c r="F279" s="5"/>
      <c r="H279" s="19"/>
      <c r="O279" s="5"/>
      <c r="Q279" s="5"/>
      <c r="R279" s="9"/>
    </row>
    <row r="280">
      <c r="A280" s="44"/>
      <c r="C280" s="5"/>
      <c r="E280" s="19"/>
      <c r="F280" s="5"/>
      <c r="H280" s="19"/>
      <c r="O280" s="5"/>
      <c r="Q280" s="5"/>
      <c r="R280" s="9"/>
    </row>
    <row r="281">
      <c r="A281" s="44"/>
      <c r="C281" s="5"/>
      <c r="E281" s="19"/>
      <c r="F281" s="5"/>
      <c r="H281" s="19"/>
      <c r="O281" s="5"/>
      <c r="Q281" s="5"/>
      <c r="R281" s="9"/>
    </row>
    <row r="282">
      <c r="A282" s="44"/>
      <c r="C282" s="5"/>
      <c r="E282" s="19"/>
      <c r="F282" s="5"/>
      <c r="H282" s="19"/>
      <c r="O282" s="5"/>
      <c r="Q282" s="5"/>
      <c r="R282" s="9"/>
    </row>
    <row r="283">
      <c r="A283" s="44"/>
      <c r="C283" s="5"/>
      <c r="E283" s="19"/>
      <c r="F283" s="5"/>
      <c r="H283" s="19"/>
      <c r="O283" s="5"/>
      <c r="Q283" s="5"/>
      <c r="R283" s="9"/>
    </row>
    <row r="284">
      <c r="A284" s="44"/>
      <c r="C284" s="5"/>
      <c r="E284" s="19"/>
      <c r="F284" s="5"/>
      <c r="H284" s="19"/>
      <c r="O284" s="5"/>
      <c r="Q284" s="5"/>
      <c r="R284" s="9"/>
    </row>
    <row r="285">
      <c r="A285" s="44"/>
      <c r="C285" s="5"/>
      <c r="E285" s="19"/>
      <c r="F285" s="5"/>
      <c r="H285" s="19"/>
      <c r="O285" s="5"/>
      <c r="Q285" s="5"/>
      <c r="R285" s="9"/>
    </row>
    <row r="286">
      <c r="A286" s="44"/>
      <c r="C286" s="5"/>
      <c r="E286" s="19"/>
      <c r="F286" s="5"/>
      <c r="H286" s="19"/>
      <c r="O286" s="5"/>
      <c r="Q286" s="5"/>
      <c r="R286" s="9"/>
    </row>
    <row r="287">
      <c r="A287" s="44"/>
      <c r="C287" s="5"/>
      <c r="E287" s="19"/>
      <c r="F287" s="5"/>
      <c r="H287" s="19"/>
      <c r="O287" s="5"/>
      <c r="Q287" s="5"/>
      <c r="R287" s="9"/>
    </row>
    <row r="288">
      <c r="A288" s="44"/>
      <c r="C288" s="5"/>
      <c r="E288" s="19"/>
      <c r="F288" s="5"/>
      <c r="H288" s="19"/>
      <c r="O288" s="5"/>
      <c r="Q288" s="5"/>
      <c r="R288" s="9"/>
    </row>
    <row r="289">
      <c r="A289" s="44"/>
      <c r="C289" s="5"/>
      <c r="E289" s="19"/>
      <c r="F289" s="5"/>
      <c r="H289" s="19"/>
      <c r="O289" s="5"/>
      <c r="Q289" s="5"/>
      <c r="R289" s="9"/>
    </row>
    <row r="290">
      <c r="A290" s="44"/>
      <c r="C290" s="5"/>
      <c r="E290" s="19"/>
      <c r="F290" s="5"/>
      <c r="H290" s="19"/>
      <c r="O290" s="5"/>
      <c r="Q290" s="5"/>
      <c r="R290" s="9"/>
    </row>
    <row r="291">
      <c r="A291" s="44"/>
      <c r="C291" s="5"/>
      <c r="E291" s="19"/>
      <c r="F291" s="5"/>
      <c r="H291" s="19"/>
      <c r="O291" s="5"/>
      <c r="Q291" s="5"/>
      <c r="R291" s="9"/>
    </row>
    <row r="292">
      <c r="A292" s="44"/>
      <c r="C292" s="5"/>
      <c r="E292" s="19"/>
      <c r="F292" s="5"/>
      <c r="H292" s="19"/>
      <c r="O292" s="5"/>
      <c r="Q292" s="5"/>
      <c r="R292" s="9"/>
    </row>
    <row r="293">
      <c r="A293" s="44"/>
      <c r="C293" s="5"/>
      <c r="E293" s="19"/>
      <c r="F293" s="5"/>
      <c r="H293" s="19"/>
      <c r="O293" s="5"/>
      <c r="Q293" s="5"/>
      <c r="R293" s="9"/>
    </row>
    <row r="294">
      <c r="A294" s="44"/>
      <c r="C294" s="5"/>
      <c r="E294" s="19"/>
      <c r="F294" s="5"/>
      <c r="H294" s="19"/>
      <c r="O294" s="5"/>
      <c r="Q294" s="5"/>
      <c r="R294" s="9"/>
    </row>
    <row r="295">
      <c r="A295" s="44"/>
      <c r="C295" s="5"/>
      <c r="E295" s="19"/>
      <c r="F295" s="5"/>
      <c r="H295" s="19"/>
      <c r="O295" s="5"/>
      <c r="Q295" s="5"/>
      <c r="R295" s="9"/>
    </row>
    <row r="296">
      <c r="A296" s="44"/>
      <c r="C296" s="5"/>
      <c r="E296" s="19"/>
      <c r="F296" s="5"/>
      <c r="H296" s="19"/>
      <c r="O296" s="5"/>
      <c r="Q296" s="5"/>
      <c r="R296" s="9"/>
    </row>
    <row r="297">
      <c r="A297" s="44"/>
      <c r="C297" s="5"/>
      <c r="E297" s="19"/>
      <c r="F297" s="5"/>
      <c r="H297" s="19"/>
      <c r="O297" s="5"/>
      <c r="Q297" s="5"/>
      <c r="R297" s="9"/>
    </row>
    <row r="298">
      <c r="A298" s="44"/>
      <c r="C298" s="5"/>
      <c r="E298" s="19"/>
      <c r="F298" s="5"/>
      <c r="H298" s="19"/>
      <c r="O298" s="5"/>
      <c r="Q298" s="5"/>
      <c r="R298" s="9"/>
    </row>
    <row r="299">
      <c r="A299" s="44"/>
      <c r="C299" s="5"/>
      <c r="E299" s="19"/>
      <c r="F299" s="5"/>
      <c r="H299" s="19"/>
      <c r="O299" s="5"/>
      <c r="Q299" s="5"/>
      <c r="R299" s="9"/>
    </row>
    <row r="300">
      <c r="A300" s="44"/>
      <c r="C300" s="5"/>
      <c r="E300" s="19"/>
      <c r="F300" s="5"/>
      <c r="H300" s="19"/>
      <c r="O300" s="5"/>
      <c r="Q300" s="5"/>
      <c r="R300" s="9"/>
    </row>
    <row r="301">
      <c r="A301" s="44"/>
      <c r="C301" s="5"/>
      <c r="E301" s="19"/>
      <c r="F301" s="5"/>
      <c r="H301" s="19"/>
      <c r="O301" s="5"/>
      <c r="Q301" s="5"/>
      <c r="R301" s="9"/>
    </row>
    <row r="302">
      <c r="A302" s="44"/>
      <c r="C302" s="5"/>
      <c r="E302" s="19"/>
      <c r="F302" s="5"/>
      <c r="H302" s="19"/>
      <c r="O302" s="5"/>
      <c r="Q302" s="5"/>
      <c r="R302" s="9"/>
    </row>
    <row r="303">
      <c r="A303" s="44"/>
      <c r="C303" s="5"/>
      <c r="E303" s="19"/>
      <c r="F303" s="5"/>
      <c r="H303" s="19"/>
      <c r="O303" s="5"/>
      <c r="Q303" s="5"/>
      <c r="R303" s="9"/>
    </row>
    <row r="304">
      <c r="A304" s="44"/>
      <c r="C304" s="5"/>
      <c r="E304" s="19"/>
      <c r="F304" s="5"/>
      <c r="H304" s="19"/>
      <c r="O304" s="5"/>
      <c r="Q304" s="5"/>
      <c r="R304" s="9"/>
    </row>
    <row r="305">
      <c r="A305" s="44"/>
      <c r="C305" s="5"/>
      <c r="E305" s="19"/>
      <c r="F305" s="5"/>
      <c r="H305" s="19"/>
      <c r="O305" s="5"/>
      <c r="Q305" s="5"/>
      <c r="R305" s="9"/>
    </row>
    <row r="306">
      <c r="A306" s="44"/>
      <c r="C306" s="5"/>
      <c r="E306" s="19"/>
      <c r="F306" s="5"/>
      <c r="H306" s="19"/>
      <c r="O306" s="5"/>
      <c r="Q306" s="5"/>
      <c r="R306" s="9"/>
    </row>
    <row r="307">
      <c r="A307" s="44"/>
      <c r="C307" s="5"/>
      <c r="E307" s="19"/>
      <c r="F307" s="5"/>
      <c r="H307" s="19"/>
      <c r="O307" s="5"/>
      <c r="Q307" s="5"/>
      <c r="R307" s="9"/>
    </row>
    <row r="308">
      <c r="A308" s="44"/>
      <c r="C308" s="5"/>
      <c r="E308" s="19"/>
      <c r="F308" s="5"/>
      <c r="H308" s="19"/>
      <c r="O308" s="5"/>
      <c r="Q308" s="5"/>
      <c r="R308" s="9"/>
    </row>
    <row r="309">
      <c r="A309" s="44"/>
      <c r="C309" s="5"/>
      <c r="E309" s="19"/>
      <c r="F309" s="5"/>
      <c r="H309" s="19"/>
      <c r="O309" s="5"/>
      <c r="Q309" s="5"/>
      <c r="R309" s="9"/>
    </row>
    <row r="310">
      <c r="A310" s="44"/>
      <c r="C310" s="5"/>
      <c r="E310" s="19"/>
      <c r="F310" s="5"/>
      <c r="H310" s="19"/>
      <c r="O310" s="5"/>
      <c r="Q310" s="5"/>
      <c r="R310" s="9"/>
    </row>
    <row r="311">
      <c r="A311" s="44"/>
      <c r="C311" s="5"/>
      <c r="E311" s="19"/>
      <c r="F311" s="5"/>
      <c r="H311" s="19"/>
      <c r="O311" s="5"/>
      <c r="Q311" s="5"/>
      <c r="R311" s="9"/>
    </row>
    <row r="312">
      <c r="A312" s="44"/>
      <c r="C312" s="5"/>
      <c r="E312" s="19"/>
      <c r="F312" s="5"/>
      <c r="H312" s="19"/>
      <c r="O312" s="5"/>
      <c r="Q312" s="5"/>
      <c r="R312" s="9"/>
    </row>
    <row r="313">
      <c r="A313" s="44"/>
      <c r="C313" s="5"/>
      <c r="E313" s="19"/>
      <c r="F313" s="5"/>
      <c r="H313" s="19"/>
      <c r="O313" s="5"/>
      <c r="Q313" s="5"/>
      <c r="R313" s="9"/>
    </row>
    <row r="314">
      <c r="A314" s="44"/>
      <c r="C314" s="5"/>
      <c r="E314" s="19"/>
      <c r="F314" s="5"/>
      <c r="H314" s="19"/>
      <c r="O314" s="5"/>
      <c r="Q314" s="5"/>
      <c r="R314" s="9"/>
    </row>
    <row r="315">
      <c r="A315" s="44"/>
      <c r="C315" s="5"/>
      <c r="E315" s="19"/>
      <c r="F315" s="5"/>
      <c r="H315" s="19"/>
      <c r="O315" s="5"/>
      <c r="Q315" s="5"/>
      <c r="R315" s="9"/>
    </row>
    <row r="316">
      <c r="A316" s="44"/>
      <c r="C316" s="5"/>
      <c r="E316" s="19"/>
      <c r="F316" s="5"/>
      <c r="H316" s="19"/>
      <c r="O316" s="5"/>
      <c r="Q316" s="5"/>
      <c r="R316" s="9"/>
    </row>
    <row r="317">
      <c r="A317" s="44"/>
      <c r="C317" s="5"/>
      <c r="E317" s="19"/>
      <c r="F317" s="5"/>
      <c r="H317" s="19"/>
      <c r="O317" s="5"/>
      <c r="Q317" s="5"/>
      <c r="R317" s="9"/>
    </row>
    <row r="318">
      <c r="A318" s="44"/>
      <c r="C318" s="5"/>
      <c r="E318" s="19"/>
      <c r="F318" s="5"/>
      <c r="H318" s="19"/>
      <c r="O318" s="5"/>
      <c r="Q318" s="5"/>
      <c r="R318" s="9"/>
    </row>
    <row r="319">
      <c r="A319" s="44"/>
      <c r="C319" s="5"/>
      <c r="E319" s="19"/>
      <c r="F319" s="5"/>
      <c r="H319" s="19"/>
      <c r="O319" s="5"/>
      <c r="Q319" s="5"/>
      <c r="R319" s="9"/>
    </row>
    <row r="320">
      <c r="A320" s="44"/>
      <c r="C320" s="5"/>
      <c r="E320" s="19"/>
      <c r="F320" s="5"/>
      <c r="H320" s="19"/>
      <c r="O320" s="5"/>
      <c r="Q320" s="5"/>
      <c r="R320" s="9"/>
    </row>
    <row r="321">
      <c r="A321" s="44"/>
      <c r="C321" s="5"/>
      <c r="E321" s="19"/>
      <c r="F321" s="5"/>
      <c r="H321" s="19"/>
      <c r="O321" s="5"/>
      <c r="Q321" s="5"/>
      <c r="R321" s="9"/>
    </row>
    <row r="322">
      <c r="A322" s="44"/>
      <c r="C322" s="5"/>
      <c r="E322" s="19"/>
      <c r="F322" s="5"/>
      <c r="H322" s="19"/>
      <c r="O322" s="5"/>
      <c r="Q322" s="5"/>
      <c r="R322" s="9"/>
    </row>
    <row r="323">
      <c r="A323" s="44"/>
      <c r="C323" s="5"/>
      <c r="E323" s="19"/>
      <c r="F323" s="5"/>
      <c r="H323" s="19"/>
      <c r="O323" s="5"/>
      <c r="Q323" s="5"/>
      <c r="R323" s="9"/>
    </row>
    <row r="324">
      <c r="A324" s="44"/>
      <c r="C324" s="5"/>
      <c r="E324" s="19"/>
      <c r="F324" s="5"/>
      <c r="H324" s="19"/>
      <c r="O324" s="5"/>
      <c r="Q324" s="5"/>
      <c r="R324" s="9"/>
    </row>
    <row r="325">
      <c r="A325" s="44"/>
      <c r="C325" s="5"/>
      <c r="E325" s="19"/>
      <c r="F325" s="5"/>
      <c r="H325" s="19"/>
      <c r="O325" s="5"/>
      <c r="Q325" s="5"/>
      <c r="R325" s="9"/>
    </row>
    <row r="326">
      <c r="A326" s="44"/>
      <c r="C326" s="5"/>
      <c r="E326" s="19"/>
      <c r="F326" s="5"/>
      <c r="H326" s="19"/>
      <c r="O326" s="5"/>
      <c r="Q326" s="5"/>
      <c r="R326" s="9"/>
    </row>
    <row r="327">
      <c r="A327" s="44"/>
      <c r="C327" s="5"/>
      <c r="E327" s="19"/>
      <c r="F327" s="5"/>
      <c r="H327" s="19"/>
      <c r="O327" s="5"/>
      <c r="Q327" s="5"/>
      <c r="R327" s="9"/>
    </row>
    <row r="328">
      <c r="A328" s="44"/>
      <c r="C328" s="5"/>
      <c r="E328" s="19"/>
      <c r="F328" s="5"/>
      <c r="H328" s="19"/>
      <c r="O328" s="5"/>
      <c r="Q328" s="5"/>
      <c r="R328" s="9"/>
    </row>
    <row r="329">
      <c r="A329" s="44"/>
      <c r="C329" s="5"/>
      <c r="E329" s="19"/>
      <c r="F329" s="5"/>
      <c r="H329" s="19"/>
      <c r="O329" s="5"/>
      <c r="Q329" s="5"/>
      <c r="R329" s="9"/>
    </row>
    <row r="330">
      <c r="A330" s="44"/>
      <c r="C330" s="5"/>
      <c r="E330" s="19"/>
      <c r="F330" s="5"/>
      <c r="H330" s="19"/>
      <c r="O330" s="5"/>
      <c r="Q330" s="5"/>
      <c r="R330" s="9"/>
    </row>
    <row r="331">
      <c r="A331" s="44"/>
      <c r="C331" s="5"/>
      <c r="E331" s="19"/>
      <c r="F331" s="5"/>
      <c r="H331" s="19"/>
      <c r="O331" s="5"/>
      <c r="Q331" s="5"/>
      <c r="R331" s="9"/>
    </row>
    <row r="332">
      <c r="A332" s="44"/>
      <c r="C332" s="5"/>
      <c r="E332" s="19"/>
      <c r="F332" s="5"/>
      <c r="H332" s="19"/>
      <c r="O332" s="5"/>
      <c r="Q332" s="5"/>
      <c r="R332" s="9"/>
    </row>
    <row r="333">
      <c r="A333" s="44"/>
      <c r="C333" s="5"/>
      <c r="E333" s="19"/>
      <c r="F333" s="5"/>
      <c r="H333" s="19"/>
      <c r="O333" s="5"/>
      <c r="Q333" s="5"/>
      <c r="R333" s="9"/>
    </row>
    <row r="334">
      <c r="A334" s="44"/>
      <c r="C334" s="5"/>
      <c r="E334" s="19"/>
      <c r="F334" s="5"/>
      <c r="H334" s="19"/>
      <c r="O334" s="5"/>
      <c r="Q334" s="5"/>
      <c r="R334" s="9"/>
    </row>
    <row r="335">
      <c r="A335" s="44"/>
      <c r="C335" s="5"/>
      <c r="E335" s="19"/>
      <c r="F335" s="5"/>
      <c r="H335" s="19"/>
      <c r="O335" s="5"/>
      <c r="Q335" s="5"/>
      <c r="R335" s="9"/>
    </row>
    <row r="336">
      <c r="A336" s="44"/>
      <c r="C336" s="5"/>
      <c r="E336" s="19"/>
      <c r="F336" s="5"/>
      <c r="H336" s="19"/>
      <c r="O336" s="5"/>
      <c r="Q336" s="5"/>
      <c r="R336" s="9"/>
    </row>
    <row r="337">
      <c r="A337" s="44"/>
      <c r="C337" s="5"/>
      <c r="E337" s="19"/>
      <c r="F337" s="5"/>
      <c r="H337" s="19"/>
      <c r="O337" s="5"/>
      <c r="Q337" s="5"/>
      <c r="R337" s="9"/>
    </row>
    <row r="338">
      <c r="A338" s="44"/>
      <c r="C338" s="5"/>
      <c r="E338" s="19"/>
      <c r="F338" s="5"/>
      <c r="H338" s="19"/>
      <c r="O338" s="5"/>
      <c r="Q338" s="5"/>
      <c r="R338" s="9"/>
    </row>
    <row r="339">
      <c r="A339" s="44"/>
      <c r="C339" s="5"/>
      <c r="E339" s="19"/>
      <c r="F339" s="5"/>
      <c r="H339" s="19"/>
      <c r="O339" s="5"/>
      <c r="Q339" s="5"/>
      <c r="R339" s="9"/>
    </row>
    <row r="340">
      <c r="A340" s="44"/>
      <c r="C340" s="5"/>
      <c r="E340" s="19"/>
      <c r="F340" s="5"/>
      <c r="H340" s="19"/>
      <c r="O340" s="5"/>
      <c r="Q340" s="5"/>
      <c r="R340" s="9"/>
    </row>
    <row r="341">
      <c r="A341" s="44"/>
      <c r="C341" s="5"/>
      <c r="E341" s="19"/>
      <c r="F341" s="5"/>
      <c r="H341" s="19"/>
      <c r="O341" s="5"/>
      <c r="Q341" s="5"/>
      <c r="R341" s="9"/>
    </row>
    <row r="342">
      <c r="A342" s="44"/>
      <c r="C342" s="5"/>
      <c r="E342" s="19"/>
      <c r="F342" s="5"/>
      <c r="H342" s="19"/>
      <c r="O342" s="5"/>
      <c r="Q342" s="5"/>
      <c r="R342" s="9"/>
    </row>
    <row r="343">
      <c r="A343" s="44"/>
      <c r="C343" s="5"/>
      <c r="E343" s="19"/>
      <c r="F343" s="5"/>
      <c r="H343" s="19"/>
      <c r="O343" s="5"/>
      <c r="Q343" s="5"/>
      <c r="R343" s="9"/>
    </row>
    <row r="344">
      <c r="A344" s="44"/>
      <c r="C344" s="5"/>
      <c r="E344" s="19"/>
      <c r="F344" s="5"/>
      <c r="H344" s="19"/>
      <c r="O344" s="5"/>
      <c r="Q344" s="5"/>
      <c r="R344" s="9"/>
    </row>
    <row r="345">
      <c r="A345" s="44"/>
      <c r="C345" s="5"/>
      <c r="E345" s="19"/>
      <c r="F345" s="5"/>
      <c r="H345" s="19"/>
      <c r="O345" s="5"/>
      <c r="Q345" s="5"/>
      <c r="R345" s="9"/>
    </row>
    <row r="346">
      <c r="A346" s="44"/>
      <c r="C346" s="5"/>
      <c r="E346" s="19"/>
      <c r="F346" s="5"/>
      <c r="H346" s="19"/>
      <c r="O346" s="5"/>
      <c r="Q346" s="5"/>
      <c r="R346" s="9"/>
    </row>
    <row r="347">
      <c r="A347" s="44"/>
      <c r="C347" s="5"/>
      <c r="E347" s="19"/>
      <c r="F347" s="5"/>
      <c r="H347" s="19"/>
      <c r="O347" s="5"/>
      <c r="Q347" s="5"/>
      <c r="R347" s="9"/>
    </row>
    <row r="348">
      <c r="A348" s="44"/>
      <c r="C348" s="5"/>
      <c r="E348" s="19"/>
      <c r="F348" s="5"/>
      <c r="H348" s="19"/>
      <c r="O348" s="5"/>
      <c r="Q348" s="5"/>
      <c r="R348" s="9"/>
    </row>
    <row r="349">
      <c r="A349" s="44"/>
      <c r="C349" s="5"/>
      <c r="E349" s="19"/>
      <c r="F349" s="5"/>
      <c r="H349" s="19"/>
      <c r="O349" s="5"/>
      <c r="Q349" s="5"/>
      <c r="R349" s="9"/>
    </row>
    <row r="350">
      <c r="A350" s="44"/>
      <c r="C350" s="5"/>
      <c r="E350" s="19"/>
      <c r="F350" s="5"/>
      <c r="H350" s="19"/>
      <c r="O350" s="5"/>
      <c r="Q350" s="5"/>
      <c r="R350" s="9"/>
    </row>
    <row r="351">
      <c r="A351" s="44"/>
      <c r="C351" s="5"/>
      <c r="E351" s="19"/>
      <c r="F351" s="5"/>
      <c r="H351" s="19"/>
      <c r="O351" s="5"/>
      <c r="Q351" s="5"/>
      <c r="R351" s="9"/>
    </row>
    <row r="352">
      <c r="A352" s="44"/>
      <c r="C352" s="5"/>
      <c r="E352" s="19"/>
      <c r="F352" s="5"/>
      <c r="H352" s="19"/>
      <c r="O352" s="5"/>
      <c r="Q352" s="5"/>
      <c r="R352" s="9"/>
    </row>
    <row r="353">
      <c r="A353" s="44"/>
      <c r="C353" s="5"/>
      <c r="E353" s="19"/>
      <c r="F353" s="5"/>
      <c r="H353" s="19"/>
      <c r="O353" s="5"/>
      <c r="Q353" s="5"/>
      <c r="R353" s="9"/>
    </row>
    <row r="354">
      <c r="A354" s="44"/>
      <c r="C354" s="5"/>
      <c r="E354" s="19"/>
      <c r="F354" s="5"/>
      <c r="H354" s="19"/>
      <c r="O354" s="5"/>
      <c r="Q354" s="5"/>
      <c r="R354" s="9"/>
    </row>
    <row r="355">
      <c r="A355" s="44"/>
      <c r="C355" s="5"/>
      <c r="E355" s="19"/>
      <c r="F355" s="5"/>
      <c r="H355" s="19"/>
      <c r="O355" s="5"/>
      <c r="Q355" s="5"/>
      <c r="R355" s="9"/>
    </row>
    <row r="356">
      <c r="A356" s="44"/>
      <c r="C356" s="5"/>
      <c r="E356" s="19"/>
      <c r="F356" s="5"/>
      <c r="H356" s="19"/>
      <c r="O356" s="5"/>
      <c r="Q356" s="5"/>
      <c r="R356" s="9"/>
    </row>
    <row r="357">
      <c r="A357" s="44"/>
      <c r="C357" s="5"/>
      <c r="E357" s="19"/>
      <c r="F357" s="5"/>
      <c r="H357" s="19"/>
      <c r="O357" s="5"/>
      <c r="Q357" s="5"/>
      <c r="R357" s="9"/>
    </row>
    <row r="358">
      <c r="A358" s="44"/>
      <c r="C358" s="5"/>
      <c r="E358" s="19"/>
      <c r="F358" s="5"/>
      <c r="H358" s="19"/>
      <c r="O358" s="5"/>
      <c r="Q358" s="5"/>
      <c r="R358" s="9"/>
    </row>
    <row r="359">
      <c r="A359" s="44"/>
      <c r="C359" s="5"/>
      <c r="E359" s="19"/>
      <c r="F359" s="5"/>
      <c r="H359" s="19"/>
      <c r="O359" s="5"/>
      <c r="Q359" s="5"/>
      <c r="R359" s="9"/>
    </row>
    <row r="360">
      <c r="A360" s="44"/>
      <c r="C360" s="5"/>
      <c r="E360" s="19"/>
      <c r="F360" s="5"/>
      <c r="H360" s="19"/>
      <c r="O360" s="5"/>
      <c r="Q360" s="5"/>
      <c r="R360" s="9"/>
    </row>
    <row r="361">
      <c r="A361" s="44"/>
      <c r="C361" s="5"/>
      <c r="E361" s="19"/>
      <c r="F361" s="5"/>
      <c r="H361" s="19"/>
      <c r="O361" s="5"/>
      <c r="Q361" s="5"/>
      <c r="R361" s="9"/>
    </row>
    <row r="362">
      <c r="A362" s="44"/>
      <c r="C362" s="5"/>
      <c r="E362" s="19"/>
      <c r="F362" s="5"/>
      <c r="H362" s="19"/>
      <c r="O362" s="5"/>
      <c r="Q362" s="5"/>
      <c r="R362" s="9"/>
    </row>
    <row r="363">
      <c r="A363" s="44"/>
      <c r="C363" s="5"/>
      <c r="E363" s="19"/>
      <c r="F363" s="5"/>
      <c r="H363" s="19"/>
      <c r="O363" s="5"/>
      <c r="Q363" s="5"/>
      <c r="R363" s="9"/>
    </row>
    <row r="364">
      <c r="A364" s="44"/>
      <c r="C364" s="5"/>
      <c r="E364" s="19"/>
      <c r="F364" s="5"/>
      <c r="H364" s="19"/>
      <c r="O364" s="5"/>
      <c r="Q364" s="5"/>
      <c r="R364" s="9"/>
    </row>
    <row r="365">
      <c r="A365" s="44"/>
      <c r="C365" s="5"/>
      <c r="E365" s="19"/>
      <c r="F365" s="5"/>
      <c r="H365" s="19"/>
      <c r="O365" s="5"/>
      <c r="Q365" s="5"/>
      <c r="R365" s="9"/>
    </row>
    <row r="366">
      <c r="A366" s="44"/>
      <c r="C366" s="5"/>
      <c r="E366" s="19"/>
      <c r="F366" s="5"/>
      <c r="H366" s="19"/>
      <c r="O366" s="5"/>
      <c r="Q366" s="5"/>
      <c r="R366" s="9"/>
    </row>
    <row r="367">
      <c r="A367" s="44"/>
      <c r="C367" s="5"/>
      <c r="E367" s="19"/>
      <c r="F367" s="5"/>
      <c r="H367" s="19"/>
      <c r="O367" s="5"/>
      <c r="Q367" s="5"/>
      <c r="R367" s="9"/>
    </row>
    <row r="368">
      <c r="A368" s="44"/>
      <c r="C368" s="5"/>
      <c r="E368" s="19"/>
      <c r="F368" s="5"/>
      <c r="H368" s="19"/>
      <c r="O368" s="5"/>
      <c r="Q368" s="5"/>
      <c r="R368" s="9"/>
    </row>
    <row r="369">
      <c r="A369" s="44"/>
      <c r="C369" s="5"/>
      <c r="E369" s="19"/>
      <c r="F369" s="5"/>
      <c r="H369" s="19"/>
      <c r="O369" s="5"/>
      <c r="Q369" s="5"/>
      <c r="R369" s="9"/>
    </row>
    <row r="370">
      <c r="A370" s="44"/>
      <c r="C370" s="5"/>
      <c r="E370" s="19"/>
      <c r="F370" s="5"/>
      <c r="H370" s="19"/>
      <c r="O370" s="5"/>
      <c r="Q370" s="5"/>
      <c r="R370" s="9"/>
    </row>
    <row r="371">
      <c r="A371" s="44"/>
      <c r="C371" s="5"/>
      <c r="E371" s="19"/>
      <c r="F371" s="5"/>
      <c r="H371" s="19"/>
      <c r="O371" s="5"/>
      <c r="Q371" s="5"/>
      <c r="R371" s="9"/>
    </row>
    <row r="372">
      <c r="A372" s="44"/>
      <c r="C372" s="5"/>
      <c r="E372" s="19"/>
      <c r="F372" s="5"/>
      <c r="H372" s="19"/>
      <c r="O372" s="5"/>
      <c r="Q372" s="5"/>
      <c r="R372" s="9"/>
    </row>
    <row r="373">
      <c r="A373" s="44"/>
      <c r="C373" s="5"/>
      <c r="E373" s="19"/>
      <c r="F373" s="5"/>
      <c r="H373" s="19"/>
      <c r="O373" s="5"/>
      <c r="Q373" s="5"/>
      <c r="R373" s="9"/>
    </row>
    <row r="374">
      <c r="A374" s="44"/>
      <c r="C374" s="5"/>
      <c r="E374" s="19"/>
      <c r="F374" s="5"/>
      <c r="H374" s="19"/>
      <c r="O374" s="5"/>
      <c r="Q374" s="5"/>
      <c r="R374" s="9"/>
    </row>
    <row r="375">
      <c r="A375" s="44"/>
      <c r="C375" s="5"/>
      <c r="E375" s="19"/>
      <c r="F375" s="5"/>
      <c r="H375" s="19"/>
      <c r="O375" s="5"/>
      <c r="Q375" s="5"/>
      <c r="R375" s="9"/>
    </row>
    <row r="376">
      <c r="A376" s="44"/>
      <c r="C376" s="5"/>
      <c r="E376" s="19"/>
      <c r="F376" s="5"/>
      <c r="H376" s="19"/>
      <c r="O376" s="5"/>
      <c r="Q376" s="5"/>
      <c r="R376" s="9"/>
    </row>
    <row r="377">
      <c r="A377" s="44"/>
      <c r="C377" s="5"/>
      <c r="E377" s="19"/>
      <c r="F377" s="5"/>
      <c r="H377" s="19"/>
      <c r="O377" s="5"/>
      <c r="Q377" s="5"/>
      <c r="R377" s="9"/>
    </row>
    <row r="378">
      <c r="A378" s="44"/>
      <c r="C378" s="5"/>
      <c r="E378" s="19"/>
      <c r="F378" s="5"/>
      <c r="H378" s="19"/>
      <c r="O378" s="5"/>
      <c r="Q378" s="5"/>
      <c r="R378" s="9"/>
    </row>
    <row r="379">
      <c r="A379" s="44"/>
      <c r="C379" s="5"/>
      <c r="E379" s="19"/>
      <c r="F379" s="5"/>
      <c r="H379" s="19"/>
      <c r="O379" s="5"/>
      <c r="Q379" s="5"/>
      <c r="R379" s="9"/>
    </row>
    <row r="380">
      <c r="A380" s="44"/>
      <c r="C380" s="5"/>
      <c r="E380" s="19"/>
      <c r="F380" s="5"/>
      <c r="H380" s="19"/>
      <c r="O380" s="5"/>
      <c r="Q380" s="5"/>
      <c r="R380" s="9"/>
    </row>
    <row r="381">
      <c r="A381" s="44"/>
      <c r="C381" s="5"/>
      <c r="E381" s="19"/>
      <c r="F381" s="5"/>
      <c r="H381" s="19"/>
      <c r="O381" s="5"/>
      <c r="Q381" s="5"/>
      <c r="R381" s="9"/>
    </row>
    <row r="382">
      <c r="A382" s="44"/>
      <c r="C382" s="5"/>
      <c r="E382" s="19"/>
      <c r="F382" s="5"/>
      <c r="H382" s="19"/>
      <c r="O382" s="5"/>
      <c r="Q382" s="5"/>
      <c r="R382" s="9"/>
    </row>
    <row r="383">
      <c r="A383" s="44"/>
      <c r="C383" s="5"/>
      <c r="E383" s="19"/>
      <c r="F383" s="5"/>
      <c r="H383" s="19"/>
      <c r="O383" s="5"/>
      <c r="Q383" s="5"/>
      <c r="R383" s="9"/>
    </row>
    <row r="384">
      <c r="A384" s="44"/>
      <c r="C384" s="5"/>
      <c r="E384" s="19"/>
      <c r="F384" s="5"/>
      <c r="H384" s="19"/>
      <c r="O384" s="5"/>
      <c r="Q384" s="5"/>
      <c r="R384" s="9"/>
    </row>
    <row r="385">
      <c r="A385" s="44"/>
      <c r="C385" s="5"/>
      <c r="E385" s="19"/>
      <c r="F385" s="5"/>
      <c r="H385" s="19"/>
      <c r="O385" s="5"/>
      <c r="Q385" s="5"/>
      <c r="R385" s="9"/>
    </row>
    <row r="386">
      <c r="A386" s="44"/>
      <c r="C386" s="5"/>
      <c r="E386" s="19"/>
      <c r="F386" s="5"/>
      <c r="H386" s="19"/>
      <c r="O386" s="5"/>
      <c r="Q386" s="5"/>
      <c r="R386" s="9"/>
    </row>
    <row r="387">
      <c r="A387" s="44"/>
      <c r="C387" s="5"/>
      <c r="E387" s="19"/>
      <c r="F387" s="5"/>
      <c r="H387" s="19"/>
      <c r="O387" s="5"/>
      <c r="Q387" s="5"/>
      <c r="R387" s="9"/>
    </row>
    <row r="388">
      <c r="A388" s="44"/>
      <c r="C388" s="5"/>
      <c r="E388" s="19"/>
      <c r="F388" s="5"/>
      <c r="H388" s="19"/>
      <c r="O388" s="5"/>
      <c r="Q388" s="5"/>
      <c r="R388" s="9"/>
    </row>
    <row r="389">
      <c r="A389" s="44"/>
      <c r="C389" s="5"/>
      <c r="E389" s="19"/>
      <c r="F389" s="5"/>
      <c r="H389" s="19"/>
      <c r="O389" s="5"/>
      <c r="Q389" s="5"/>
      <c r="R389" s="9"/>
    </row>
    <row r="390">
      <c r="A390" s="44"/>
      <c r="C390" s="5"/>
      <c r="E390" s="19"/>
      <c r="F390" s="5"/>
      <c r="H390" s="19"/>
      <c r="O390" s="5"/>
      <c r="Q390" s="5"/>
      <c r="R390" s="9"/>
    </row>
    <row r="391">
      <c r="A391" s="44"/>
      <c r="C391" s="5"/>
      <c r="E391" s="19"/>
      <c r="F391" s="5"/>
      <c r="H391" s="19"/>
      <c r="O391" s="5"/>
      <c r="Q391" s="5"/>
      <c r="R391" s="9"/>
    </row>
    <row r="392">
      <c r="A392" s="44"/>
      <c r="C392" s="5"/>
      <c r="E392" s="19"/>
      <c r="F392" s="5"/>
      <c r="H392" s="19"/>
      <c r="O392" s="5"/>
      <c r="Q392" s="5"/>
      <c r="R392" s="9"/>
    </row>
    <row r="393">
      <c r="A393" s="44"/>
      <c r="C393" s="5"/>
      <c r="E393" s="19"/>
      <c r="F393" s="5"/>
      <c r="H393" s="19"/>
      <c r="O393" s="5"/>
      <c r="Q393" s="5"/>
      <c r="R393" s="9"/>
    </row>
    <row r="394">
      <c r="A394" s="44"/>
      <c r="C394" s="5"/>
      <c r="E394" s="19"/>
      <c r="F394" s="5"/>
      <c r="H394" s="19"/>
      <c r="O394" s="5"/>
      <c r="Q394" s="5"/>
      <c r="R394" s="9"/>
    </row>
    <row r="395">
      <c r="A395" s="44"/>
      <c r="C395" s="5"/>
      <c r="E395" s="19"/>
      <c r="F395" s="5"/>
      <c r="H395" s="19"/>
      <c r="O395" s="5"/>
      <c r="Q395" s="5"/>
      <c r="R395" s="9"/>
    </row>
    <row r="396">
      <c r="A396" s="44"/>
      <c r="C396" s="5"/>
      <c r="E396" s="19"/>
      <c r="F396" s="5"/>
      <c r="H396" s="19"/>
      <c r="O396" s="5"/>
      <c r="Q396" s="5"/>
      <c r="R396" s="9"/>
    </row>
    <row r="397">
      <c r="A397" s="44"/>
      <c r="C397" s="5"/>
      <c r="E397" s="19"/>
      <c r="F397" s="5"/>
      <c r="H397" s="19"/>
      <c r="O397" s="5"/>
      <c r="Q397" s="5"/>
      <c r="R397" s="9"/>
    </row>
    <row r="398">
      <c r="A398" s="44"/>
      <c r="C398" s="5"/>
      <c r="E398" s="19"/>
      <c r="F398" s="5"/>
      <c r="H398" s="19"/>
      <c r="O398" s="5"/>
      <c r="Q398" s="5"/>
      <c r="R398" s="9"/>
    </row>
    <row r="399">
      <c r="A399" s="44"/>
      <c r="C399" s="5"/>
      <c r="E399" s="19"/>
      <c r="F399" s="5"/>
      <c r="H399" s="19"/>
      <c r="O399" s="5"/>
      <c r="Q399" s="5"/>
      <c r="R399" s="9"/>
    </row>
    <row r="400">
      <c r="A400" s="44"/>
      <c r="C400" s="5"/>
      <c r="E400" s="19"/>
      <c r="F400" s="5"/>
      <c r="H400" s="19"/>
      <c r="O400" s="5"/>
      <c r="Q400" s="5"/>
      <c r="R400" s="9"/>
    </row>
    <row r="401">
      <c r="A401" s="44"/>
      <c r="C401" s="5"/>
      <c r="E401" s="19"/>
      <c r="F401" s="5"/>
      <c r="H401" s="19"/>
      <c r="O401" s="5"/>
      <c r="Q401" s="5"/>
      <c r="R401" s="9"/>
    </row>
    <row r="402">
      <c r="A402" s="44"/>
      <c r="C402" s="5"/>
      <c r="E402" s="19"/>
      <c r="F402" s="5"/>
      <c r="H402" s="19"/>
      <c r="O402" s="5"/>
      <c r="Q402" s="5"/>
      <c r="R402" s="9"/>
    </row>
    <row r="403">
      <c r="A403" s="44"/>
      <c r="C403" s="5"/>
      <c r="E403" s="19"/>
      <c r="F403" s="5"/>
      <c r="H403" s="19"/>
      <c r="O403" s="5"/>
      <c r="Q403" s="5"/>
      <c r="R403" s="9"/>
    </row>
    <row r="404">
      <c r="A404" s="44"/>
      <c r="C404" s="5"/>
      <c r="E404" s="19"/>
      <c r="F404" s="5"/>
      <c r="H404" s="19"/>
      <c r="O404" s="5"/>
      <c r="Q404" s="5"/>
      <c r="R404" s="9"/>
    </row>
    <row r="405">
      <c r="A405" s="44"/>
      <c r="C405" s="5"/>
      <c r="E405" s="19"/>
      <c r="F405" s="5"/>
      <c r="H405" s="19"/>
      <c r="O405" s="5"/>
      <c r="Q405" s="5"/>
      <c r="R405" s="9"/>
    </row>
    <row r="406">
      <c r="A406" s="44"/>
      <c r="C406" s="5"/>
      <c r="E406" s="19"/>
      <c r="F406" s="5"/>
      <c r="H406" s="19"/>
      <c r="O406" s="5"/>
      <c r="Q406" s="5"/>
      <c r="R406" s="9"/>
    </row>
    <row r="407">
      <c r="A407" s="44"/>
      <c r="C407" s="5"/>
      <c r="E407" s="19"/>
      <c r="F407" s="5"/>
      <c r="H407" s="19"/>
      <c r="O407" s="5"/>
      <c r="Q407" s="5"/>
      <c r="R407" s="9"/>
    </row>
    <row r="408">
      <c r="A408" s="44"/>
      <c r="C408" s="5"/>
      <c r="E408" s="19"/>
      <c r="F408" s="5"/>
      <c r="H408" s="19"/>
      <c r="O408" s="5"/>
      <c r="Q408" s="5"/>
      <c r="R408" s="9"/>
    </row>
    <row r="409">
      <c r="A409" s="44"/>
      <c r="C409" s="5"/>
      <c r="E409" s="19"/>
      <c r="F409" s="5"/>
      <c r="H409" s="19"/>
      <c r="O409" s="5"/>
      <c r="Q409" s="5"/>
      <c r="R409" s="9"/>
    </row>
    <row r="410">
      <c r="A410" s="44"/>
      <c r="C410" s="5"/>
      <c r="E410" s="19"/>
      <c r="F410" s="5"/>
      <c r="H410" s="19"/>
      <c r="O410" s="5"/>
      <c r="Q410" s="5"/>
      <c r="R410" s="9"/>
    </row>
    <row r="411">
      <c r="A411" s="44"/>
      <c r="C411" s="5"/>
      <c r="E411" s="19"/>
      <c r="F411" s="5"/>
      <c r="H411" s="19"/>
      <c r="O411" s="5"/>
      <c r="Q411" s="5"/>
      <c r="R411" s="9"/>
    </row>
    <row r="412">
      <c r="A412" s="44"/>
      <c r="C412" s="5"/>
      <c r="E412" s="19"/>
      <c r="F412" s="5"/>
      <c r="H412" s="19"/>
      <c r="O412" s="5"/>
      <c r="Q412" s="5"/>
      <c r="R412" s="9"/>
    </row>
    <row r="413">
      <c r="A413" s="44"/>
      <c r="C413" s="5"/>
      <c r="E413" s="19"/>
      <c r="F413" s="5"/>
      <c r="H413" s="19"/>
      <c r="O413" s="5"/>
      <c r="Q413" s="5"/>
      <c r="R413" s="9"/>
    </row>
    <row r="414">
      <c r="A414" s="44"/>
      <c r="C414" s="5"/>
      <c r="E414" s="19"/>
      <c r="F414" s="5"/>
      <c r="H414" s="19"/>
      <c r="O414" s="5"/>
      <c r="Q414" s="5"/>
      <c r="R414" s="9"/>
    </row>
    <row r="415">
      <c r="A415" s="44"/>
      <c r="C415" s="5"/>
      <c r="E415" s="19"/>
      <c r="F415" s="5"/>
      <c r="H415" s="19"/>
      <c r="O415" s="5"/>
      <c r="Q415" s="5"/>
      <c r="R415" s="9"/>
    </row>
    <row r="416">
      <c r="A416" s="44"/>
      <c r="C416" s="5"/>
      <c r="E416" s="19"/>
      <c r="F416" s="5"/>
      <c r="H416" s="19"/>
      <c r="O416" s="5"/>
      <c r="Q416" s="5"/>
      <c r="R416" s="9"/>
    </row>
    <row r="417">
      <c r="A417" s="44"/>
      <c r="C417" s="5"/>
      <c r="E417" s="19"/>
      <c r="F417" s="5"/>
      <c r="H417" s="19"/>
      <c r="O417" s="5"/>
      <c r="Q417" s="5"/>
      <c r="R417" s="9"/>
    </row>
    <row r="418">
      <c r="A418" s="44"/>
      <c r="C418" s="5"/>
      <c r="E418" s="19"/>
      <c r="F418" s="5"/>
      <c r="H418" s="19"/>
      <c r="O418" s="5"/>
      <c r="Q418" s="5"/>
      <c r="R418" s="9"/>
    </row>
    <row r="419">
      <c r="A419" s="44"/>
      <c r="C419" s="5"/>
      <c r="E419" s="19"/>
      <c r="F419" s="5"/>
      <c r="H419" s="19"/>
      <c r="O419" s="5"/>
      <c r="Q419" s="5"/>
      <c r="R419" s="9"/>
    </row>
    <row r="420">
      <c r="A420" s="44"/>
      <c r="C420" s="5"/>
      <c r="E420" s="19"/>
      <c r="F420" s="5"/>
      <c r="H420" s="19"/>
      <c r="O420" s="5"/>
      <c r="Q420" s="5"/>
      <c r="R420" s="9"/>
    </row>
    <row r="421">
      <c r="A421" s="44"/>
      <c r="C421" s="5"/>
      <c r="E421" s="19"/>
      <c r="F421" s="5"/>
      <c r="H421" s="19"/>
      <c r="O421" s="5"/>
      <c r="Q421" s="5"/>
      <c r="R421" s="9"/>
    </row>
    <row r="422">
      <c r="A422" s="44"/>
      <c r="C422" s="5"/>
      <c r="E422" s="19"/>
      <c r="F422" s="5"/>
      <c r="H422" s="19"/>
      <c r="O422" s="5"/>
      <c r="Q422" s="5"/>
      <c r="R422" s="9"/>
    </row>
    <row r="423">
      <c r="A423" s="44"/>
      <c r="C423" s="5"/>
      <c r="E423" s="19"/>
      <c r="F423" s="5"/>
      <c r="H423" s="19"/>
      <c r="O423" s="5"/>
      <c r="Q423" s="5"/>
      <c r="R423" s="9"/>
    </row>
    <row r="424">
      <c r="A424" s="44"/>
      <c r="C424" s="5"/>
      <c r="E424" s="19"/>
      <c r="F424" s="5"/>
      <c r="H424" s="19"/>
      <c r="O424" s="5"/>
      <c r="Q424" s="5"/>
      <c r="R424" s="9"/>
    </row>
    <row r="425">
      <c r="A425" s="44"/>
      <c r="C425" s="5"/>
      <c r="E425" s="19"/>
      <c r="F425" s="5"/>
      <c r="H425" s="19"/>
      <c r="O425" s="5"/>
      <c r="Q425" s="5"/>
      <c r="R425" s="9"/>
    </row>
    <row r="426">
      <c r="A426" s="44"/>
      <c r="C426" s="5"/>
      <c r="E426" s="19"/>
      <c r="F426" s="5"/>
      <c r="H426" s="19"/>
      <c r="O426" s="5"/>
      <c r="Q426" s="5"/>
      <c r="R426" s="9"/>
    </row>
    <row r="427">
      <c r="A427" s="44"/>
      <c r="C427" s="5"/>
      <c r="E427" s="19"/>
      <c r="F427" s="5"/>
      <c r="H427" s="19"/>
      <c r="O427" s="5"/>
      <c r="Q427" s="5"/>
      <c r="R427" s="9"/>
    </row>
    <row r="428">
      <c r="A428" s="44"/>
      <c r="C428" s="5"/>
      <c r="E428" s="19"/>
      <c r="F428" s="5"/>
      <c r="H428" s="19"/>
      <c r="O428" s="5"/>
      <c r="Q428" s="5"/>
      <c r="R428" s="9"/>
    </row>
    <row r="429">
      <c r="A429" s="44"/>
      <c r="C429" s="5"/>
      <c r="E429" s="19"/>
      <c r="F429" s="5"/>
      <c r="H429" s="19"/>
      <c r="O429" s="5"/>
      <c r="Q429" s="5"/>
      <c r="R429" s="9"/>
    </row>
    <row r="430">
      <c r="A430" s="44"/>
      <c r="C430" s="5"/>
      <c r="E430" s="19"/>
      <c r="F430" s="5"/>
      <c r="H430" s="19"/>
      <c r="O430" s="5"/>
      <c r="Q430" s="5"/>
      <c r="R430" s="9"/>
    </row>
    <row r="431">
      <c r="A431" s="44"/>
      <c r="C431" s="5"/>
      <c r="E431" s="19"/>
      <c r="F431" s="5"/>
      <c r="H431" s="19"/>
      <c r="O431" s="5"/>
      <c r="Q431" s="5"/>
      <c r="R431" s="9"/>
    </row>
    <row r="432">
      <c r="A432" s="44"/>
      <c r="C432" s="5"/>
      <c r="E432" s="19"/>
      <c r="F432" s="5"/>
      <c r="H432" s="19"/>
      <c r="O432" s="5"/>
      <c r="Q432" s="5"/>
      <c r="R432" s="9"/>
    </row>
    <row r="433">
      <c r="A433" s="44"/>
      <c r="C433" s="5"/>
      <c r="E433" s="19"/>
      <c r="F433" s="5"/>
      <c r="H433" s="19"/>
      <c r="O433" s="5"/>
      <c r="Q433" s="5"/>
      <c r="R433" s="9"/>
    </row>
    <row r="434">
      <c r="A434" s="44"/>
      <c r="C434" s="5"/>
      <c r="E434" s="19"/>
      <c r="F434" s="5"/>
      <c r="H434" s="19"/>
      <c r="O434" s="5"/>
      <c r="Q434" s="5"/>
      <c r="R434" s="9"/>
    </row>
    <row r="435">
      <c r="A435" s="44"/>
      <c r="C435" s="5"/>
      <c r="E435" s="19"/>
      <c r="F435" s="5"/>
      <c r="H435" s="19"/>
      <c r="O435" s="5"/>
      <c r="Q435" s="5"/>
      <c r="R435" s="9"/>
    </row>
    <row r="436">
      <c r="A436" s="44"/>
      <c r="C436" s="5"/>
      <c r="E436" s="19"/>
      <c r="F436" s="5"/>
      <c r="H436" s="19"/>
      <c r="O436" s="5"/>
      <c r="Q436" s="5"/>
      <c r="R436" s="9"/>
    </row>
    <row r="437">
      <c r="A437" s="44"/>
      <c r="C437" s="5"/>
      <c r="E437" s="19"/>
      <c r="F437" s="5"/>
      <c r="H437" s="19"/>
      <c r="O437" s="5"/>
      <c r="Q437" s="5"/>
      <c r="R437" s="9"/>
    </row>
    <row r="438">
      <c r="A438" s="44"/>
      <c r="C438" s="5"/>
      <c r="E438" s="19"/>
      <c r="F438" s="5"/>
      <c r="H438" s="19"/>
      <c r="O438" s="5"/>
      <c r="Q438" s="5"/>
      <c r="R438" s="9"/>
    </row>
    <row r="439">
      <c r="A439" s="44"/>
      <c r="C439" s="5"/>
      <c r="E439" s="19"/>
      <c r="F439" s="5"/>
      <c r="H439" s="19"/>
      <c r="O439" s="5"/>
      <c r="Q439" s="5"/>
      <c r="R439" s="9"/>
    </row>
    <row r="440">
      <c r="A440" s="44"/>
      <c r="C440" s="5"/>
      <c r="E440" s="19"/>
      <c r="F440" s="5"/>
      <c r="H440" s="19"/>
      <c r="O440" s="5"/>
      <c r="Q440" s="5"/>
      <c r="R440" s="9"/>
    </row>
    <row r="441">
      <c r="A441" s="44"/>
      <c r="C441" s="5"/>
      <c r="E441" s="19"/>
      <c r="F441" s="5"/>
      <c r="H441" s="19"/>
      <c r="O441" s="5"/>
      <c r="Q441" s="5"/>
      <c r="R441" s="9"/>
    </row>
    <row r="442">
      <c r="A442" s="44"/>
      <c r="C442" s="5"/>
      <c r="E442" s="19"/>
      <c r="F442" s="5"/>
      <c r="H442" s="19"/>
      <c r="O442" s="5"/>
      <c r="Q442" s="5"/>
      <c r="R442" s="9"/>
    </row>
    <row r="443">
      <c r="A443" s="44"/>
      <c r="C443" s="5"/>
      <c r="E443" s="19"/>
      <c r="F443" s="5"/>
      <c r="H443" s="19"/>
      <c r="O443" s="5"/>
      <c r="Q443" s="5"/>
      <c r="R443" s="9"/>
    </row>
    <row r="444">
      <c r="A444" s="44"/>
      <c r="C444" s="5"/>
      <c r="E444" s="19"/>
      <c r="F444" s="5"/>
      <c r="H444" s="19"/>
      <c r="O444" s="5"/>
      <c r="Q444" s="5"/>
      <c r="R444" s="9"/>
    </row>
    <row r="445">
      <c r="A445" s="44"/>
      <c r="C445" s="5"/>
      <c r="E445" s="19"/>
      <c r="F445" s="5"/>
      <c r="H445" s="19"/>
      <c r="O445" s="5"/>
      <c r="Q445" s="5"/>
      <c r="R445" s="9"/>
    </row>
    <row r="446">
      <c r="A446" s="44"/>
      <c r="C446" s="5"/>
      <c r="E446" s="19"/>
      <c r="F446" s="5"/>
      <c r="H446" s="19"/>
      <c r="O446" s="5"/>
      <c r="Q446" s="5"/>
      <c r="R446" s="9"/>
    </row>
    <row r="447">
      <c r="A447" s="44"/>
      <c r="C447" s="5"/>
      <c r="E447" s="19"/>
      <c r="F447" s="5"/>
      <c r="H447" s="19"/>
      <c r="O447" s="5"/>
      <c r="Q447" s="5"/>
      <c r="R447" s="9"/>
    </row>
    <row r="448">
      <c r="A448" s="44"/>
      <c r="C448" s="5"/>
      <c r="E448" s="19"/>
      <c r="F448" s="5"/>
      <c r="H448" s="19"/>
      <c r="O448" s="5"/>
      <c r="Q448" s="5"/>
      <c r="R448" s="9"/>
    </row>
    <row r="449">
      <c r="A449" s="44"/>
      <c r="C449" s="5"/>
      <c r="E449" s="19"/>
      <c r="F449" s="5"/>
      <c r="H449" s="19"/>
      <c r="O449" s="5"/>
      <c r="Q449" s="5"/>
      <c r="R449" s="9"/>
    </row>
    <row r="450">
      <c r="A450" s="44"/>
      <c r="C450" s="5"/>
      <c r="E450" s="19"/>
      <c r="F450" s="5"/>
      <c r="H450" s="19"/>
      <c r="O450" s="5"/>
      <c r="Q450" s="5"/>
      <c r="R450" s="9"/>
    </row>
    <row r="451">
      <c r="A451" s="44"/>
      <c r="C451" s="5"/>
      <c r="E451" s="19"/>
      <c r="F451" s="5"/>
      <c r="H451" s="19"/>
      <c r="O451" s="5"/>
      <c r="Q451" s="5"/>
      <c r="R451" s="9"/>
    </row>
    <row r="452">
      <c r="A452" s="44"/>
      <c r="C452" s="5"/>
      <c r="E452" s="19"/>
      <c r="F452" s="5"/>
      <c r="H452" s="19"/>
      <c r="O452" s="5"/>
      <c r="Q452" s="5"/>
      <c r="R452" s="9"/>
    </row>
    <row r="453">
      <c r="A453" s="44"/>
      <c r="C453" s="5"/>
      <c r="E453" s="19"/>
      <c r="F453" s="5"/>
      <c r="H453" s="19"/>
      <c r="O453" s="5"/>
      <c r="Q453" s="5"/>
      <c r="R453" s="9"/>
    </row>
    <row r="454">
      <c r="A454" s="44"/>
      <c r="C454" s="5"/>
      <c r="E454" s="19"/>
      <c r="F454" s="5"/>
      <c r="H454" s="19"/>
      <c r="O454" s="5"/>
      <c r="Q454" s="5"/>
      <c r="R454" s="9"/>
    </row>
    <row r="455">
      <c r="A455" s="44"/>
      <c r="C455" s="5"/>
      <c r="E455" s="19"/>
      <c r="F455" s="5"/>
      <c r="H455" s="19"/>
      <c r="O455" s="5"/>
      <c r="Q455" s="5"/>
      <c r="R455" s="9"/>
    </row>
    <row r="456">
      <c r="A456" s="44"/>
      <c r="C456" s="5"/>
      <c r="E456" s="19"/>
      <c r="F456" s="5"/>
      <c r="H456" s="19"/>
      <c r="O456" s="5"/>
      <c r="Q456" s="5"/>
      <c r="R456" s="9"/>
    </row>
    <row r="457">
      <c r="A457" s="44"/>
      <c r="C457" s="5"/>
      <c r="E457" s="19"/>
      <c r="F457" s="5"/>
      <c r="H457" s="19"/>
      <c r="O457" s="5"/>
      <c r="Q457" s="5"/>
      <c r="R457" s="9"/>
    </row>
    <row r="458">
      <c r="A458" s="44"/>
      <c r="C458" s="5"/>
      <c r="E458" s="19"/>
      <c r="F458" s="5"/>
      <c r="H458" s="19"/>
      <c r="O458" s="5"/>
      <c r="Q458" s="5"/>
      <c r="R458" s="9"/>
    </row>
    <row r="459">
      <c r="A459" s="44"/>
      <c r="C459" s="5"/>
      <c r="E459" s="19"/>
      <c r="F459" s="5"/>
      <c r="H459" s="19"/>
      <c r="O459" s="5"/>
      <c r="Q459" s="5"/>
      <c r="R459" s="9"/>
    </row>
    <row r="460">
      <c r="A460" s="44"/>
      <c r="C460" s="5"/>
      <c r="E460" s="19"/>
      <c r="F460" s="5"/>
      <c r="H460" s="19"/>
      <c r="O460" s="5"/>
      <c r="Q460" s="5"/>
      <c r="R460" s="9"/>
    </row>
    <row r="461">
      <c r="A461" s="44"/>
      <c r="C461" s="5"/>
      <c r="E461" s="19"/>
      <c r="F461" s="5"/>
      <c r="H461" s="19"/>
      <c r="O461" s="5"/>
      <c r="Q461" s="5"/>
      <c r="R461" s="9"/>
    </row>
    <row r="462">
      <c r="A462" s="44"/>
      <c r="C462" s="5"/>
      <c r="E462" s="19"/>
      <c r="F462" s="5"/>
      <c r="H462" s="19"/>
      <c r="O462" s="5"/>
      <c r="Q462" s="5"/>
      <c r="R462" s="9"/>
    </row>
    <row r="463">
      <c r="A463" s="44"/>
      <c r="C463" s="5"/>
      <c r="E463" s="19"/>
      <c r="F463" s="5"/>
      <c r="H463" s="19"/>
      <c r="O463" s="5"/>
      <c r="Q463" s="5"/>
      <c r="R463" s="9"/>
    </row>
    <row r="464">
      <c r="A464" s="44"/>
      <c r="C464" s="5"/>
      <c r="E464" s="19"/>
      <c r="F464" s="5"/>
      <c r="H464" s="19"/>
      <c r="O464" s="5"/>
      <c r="Q464" s="5"/>
      <c r="R464" s="9"/>
    </row>
    <row r="465">
      <c r="A465" s="44"/>
      <c r="C465" s="5"/>
      <c r="E465" s="19"/>
      <c r="F465" s="5"/>
      <c r="H465" s="19"/>
      <c r="O465" s="5"/>
      <c r="Q465" s="5"/>
      <c r="R465" s="9"/>
    </row>
    <row r="466">
      <c r="A466" s="44"/>
      <c r="C466" s="5"/>
      <c r="E466" s="19"/>
      <c r="F466" s="5"/>
      <c r="H466" s="19"/>
      <c r="O466" s="5"/>
      <c r="Q466" s="5"/>
      <c r="R466" s="9"/>
    </row>
    <row r="467">
      <c r="A467" s="44"/>
      <c r="C467" s="5"/>
      <c r="E467" s="19"/>
      <c r="F467" s="5"/>
      <c r="H467" s="19"/>
      <c r="O467" s="5"/>
      <c r="Q467" s="5"/>
      <c r="R467" s="9"/>
    </row>
    <row r="468">
      <c r="A468" s="44"/>
      <c r="C468" s="5"/>
      <c r="E468" s="19"/>
      <c r="F468" s="5"/>
      <c r="H468" s="19"/>
      <c r="O468" s="5"/>
      <c r="Q468" s="5"/>
      <c r="R468" s="9"/>
    </row>
    <row r="469">
      <c r="A469" s="44"/>
      <c r="C469" s="5"/>
      <c r="E469" s="19"/>
      <c r="F469" s="5"/>
      <c r="H469" s="19"/>
      <c r="O469" s="5"/>
      <c r="Q469" s="5"/>
      <c r="R469" s="9"/>
    </row>
    <row r="470">
      <c r="A470" s="44"/>
      <c r="C470" s="5"/>
      <c r="E470" s="19"/>
      <c r="F470" s="5"/>
      <c r="H470" s="19"/>
      <c r="O470" s="5"/>
      <c r="Q470" s="5"/>
      <c r="R470" s="9"/>
    </row>
    <row r="471">
      <c r="A471" s="44"/>
      <c r="C471" s="5"/>
      <c r="E471" s="19"/>
      <c r="F471" s="5"/>
      <c r="H471" s="19"/>
      <c r="O471" s="5"/>
      <c r="Q471" s="5"/>
      <c r="R471" s="9"/>
    </row>
    <row r="472">
      <c r="A472" s="44"/>
      <c r="C472" s="5"/>
      <c r="E472" s="19"/>
      <c r="F472" s="5"/>
      <c r="H472" s="19"/>
      <c r="O472" s="5"/>
      <c r="Q472" s="5"/>
      <c r="R472" s="9"/>
    </row>
    <row r="473">
      <c r="A473" s="44"/>
      <c r="C473" s="5"/>
      <c r="E473" s="19"/>
      <c r="F473" s="5"/>
      <c r="H473" s="19"/>
      <c r="O473" s="5"/>
      <c r="Q473" s="5"/>
      <c r="R473" s="9"/>
    </row>
    <row r="474">
      <c r="A474" s="44"/>
      <c r="C474" s="5"/>
      <c r="E474" s="19"/>
      <c r="F474" s="5"/>
      <c r="H474" s="19"/>
      <c r="O474" s="5"/>
      <c r="Q474" s="5"/>
      <c r="R474" s="9"/>
    </row>
    <row r="475">
      <c r="A475" s="44"/>
      <c r="C475" s="5"/>
      <c r="E475" s="19"/>
      <c r="F475" s="5"/>
      <c r="H475" s="19"/>
      <c r="O475" s="5"/>
      <c r="Q475" s="5"/>
      <c r="R475" s="9"/>
    </row>
    <row r="476">
      <c r="A476" s="44"/>
      <c r="C476" s="5"/>
      <c r="E476" s="19"/>
      <c r="F476" s="5"/>
      <c r="H476" s="19"/>
      <c r="O476" s="5"/>
      <c r="Q476" s="5"/>
      <c r="R476" s="9"/>
    </row>
    <row r="477">
      <c r="A477" s="44"/>
      <c r="C477" s="5"/>
      <c r="E477" s="19"/>
      <c r="F477" s="5"/>
      <c r="H477" s="19"/>
      <c r="O477" s="5"/>
      <c r="Q477" s="5"/>
      <c r="R477" s="9"/>
    </row>
    <row r="478">
      <c r="A478" s="44"/>
      <c r="C478" s="5"/>
      <c r="E478" s="19"/>
      <c r="F478" s="5"/>
      <c r="H478" s="19"/>
      <c r="O478" s="5"/>
      <c r="Q478" s="5"/>
      <c r="R478" s="9"/>
    </row>
    <row r="479">
      <c r="A479" s="44"/>
      <c r="C479" s="5"/>
      <c r="E479" s="19"/>
      <c r="F479" s="5"/>
      <c r="H479" s="19"/>
      <c r="O479" s="5"/>
      <c r="Q479" s="5"/>
      <c r="R479" s="9"/>
    </row>
    <row r="480">
      <c r="A480" s="44"/>
      <c r="C480" s="5"/>
      <c r="E480" s="19"/>
      <c r="F480" s="5"/>
      <c r="H480" s="19"/>
      <c r="O480" s="5"/>
      <c r="Q480" s="5"/>
      <c r="R480" s="9"/>
    </row>
    <row r="481">
      <c r="A481" s="44"/>
      <c r="C481" s="5"/>
      <c r="E481" s="19"/>
      <c r="F481" s="5"/>
      <c r="H481" s="19"/>
      <c r="O481" s="5"/>
      <c r="Q481" s="5"/>
      <c r="R481" s="9"/>
    </row>
    <row r="482">
      <c r="A482" s="44"/>
      <c r="C482" s="5"/>
      <c r="E482" s="19"/>
      <c r="F482" s="5"/>
      <c r="H482" s="19"/>
      <c r="O482" s="5"/>
      <c r="Q482" s="5"/>
      <c r="R482" s="9"/>
    </row>
    <row r="483">
      <c r="A483" s="44"/>
      <c r="C483" s="5"/>
      <c r="E483" s="19"/>
      <c r="F483" s="5"/>
      <c r="H483" s="19"/>
      <c r="O483" s="5"/>
      <c r="Q483" s="5"/>
      <c r="R483" s="9"/>
    </row>
    <row r="484">
      <c r="A484" s="44"/>
      <c r="C484" s="5"/>
      <c r="E484" s="19"/>
      <c r="F484" s="5"/>
      <c r="H484" s="19"/>
      <c r="O484" s="5"/>
      <c r="Q484" s="5"/>
      <c r="R484" s="9"/>
    </row>
    <row r="485">
      <c r="A485" s="44"/>
      <c r="C485" s="5"/>
      <c r="E485" s="19"/>
      <c r="F485" s="5"/>
      <c r="H485" s="19"/>
      <c r="O485" s="5"/>
      <c r="Q485" s="5"/>
      <c r="R485" s="9"/>
    </row>
    <row r="486">
      <c r="A486" s="44"/>
      <c r="C486" s="5"/>
      <c r="E486" s="19"/>
      <c r="F486" s="5"/>
      <c r="H486" s="19"/>
      <c r="O486" s="5"/>
      <c r="Q486" s="5"/>
      <c r="R486" s="9"/>
    </row>
    <row r="487">
      <c r="A487" s="44"/>
      <c r="C487" s="5"/>
      <c r="E487" s="19"/>
      <c r="F487" s="5"/>
      <c r="H487" s="19"/>
      <c r="O487" s="5"/>
      <c r="Q487" s="5"/>
      <c r="R487" s="9"/>
    </row>
    <row r="488">
      <c r="A488" s="44"/>
      <c r="C488" s="5"/>
      <c r="E488" s="19"/>
      <c r="F488" s="5"/>
      <c r="H488" s="19"/>
      <c r="O488" s="5"/>
      <c r="Q488" s="5"/>
      <c r="R488" s="9"/>
    </row>
    <row r="489">
      <c r="A489" s="44"/>
      <c r="C489" s="5"/>
      <c r="E489" s="19"/>
      <c r="F489" s="5"/>
      <c r="H489" s="19"/>
      <c r="O489" s="5"/>
      <c r="Q489" s="5"/>
      <c r="R489" s="9"/>
    </row>
    <row r="490">
      <c r="A490" s="44"/>
      <c r="C490" s="5"/>
      <c r="E490" s="19"/>
      <c r="F490" s="5"/>
      <c r="H490" s="19"/>
      <c r="O490" s="5"/>
      <c r="Q490" s="5"/>
      <c r="R490" s="9"/>
    </row>
    <row r="491">
      <c r="A491" s="44"/>
      <c r="C491" s="5"/>
      <c r="E491" s="19"/>
      <c r="F491" s="5"/>
      <c r="H491" s="19"/>
      <c r="O491" s="5"/>
      <c r="Q491" s="5"/>
      <c r="R491" s="9"/>
    </row>
    <row r="492">
      <c r="A492" s="44"/>
      <c r="C492" s="5"/>
      <c r="E492" s="19"/>
      <c r="F492" s="5"/>
      <c r="H492" s="19"/>
      <c r="O492" s="5"/>
      <c r="Q492" s="5"/>
      <c r="R492" s="9"/>
    </row>
    <row r="493">
      <c r="A493" s="44"/>
      <c r="C493" s="5"/>
      <c r="E493" s="19"/>
      <c r="F493" s="5"/>
      <c r="H493" s="19"/>
      <c r="O493" s="5"/>
      <c r="Q493" s="5"/>
      <c r="R493" s="9"/>
    </row>
    <row r="494">
      <c r="A494" s="44"/>
      <c r="C494" s="5"/>
      <c r="E494" s="19"/>
      <c r="F494" s="5"/>
      <c r="H494" s="19"/>
      <c r="O494" s="5"/>
      <c r="Q494" s="5"/>
      <c r="R494" s="9"/>
    </row>
    <row r="495">
      <c r="A495" s="44"/>
      <c r="C495" s="5"/>
      <c r="E495" s="19"/>
      <c r="F495" s="5"/>
      <c r="H495" s="19"/>
      <c r="O495" s="5"/>
      <c r="Q495" s="5"/>
      <c r="R495" s="9"/>
    </row>
    <row r="496">
      <c r="A496" s="44"/>
      <c r="C496" s="5"/>
      <c r="E496" s="19"/>
      <c r="F496" s="5"/>
      <c r="H496" s="19"/>
      <c r="O496" s="5"/>
      <c r="Q496" s="5"/>
      <c r="R496" s="9"/>
    </row>
    <row r="497">
      <c r="A497" s="44"/>
      <c r="C497" s="5"/>
      <c r="E497" s="19"/>
      <c r="F497" s="5"/>
      <c r="H497" s="19"/>
      <c r="O497" s="5"/>
      <c r="Q497" s="5"/>
      <c r="R497" s="9"/>
    </row>
    <row r="498">
      <c r="A498" s="44"/>
      <c r="C498" s="5"/>
      <c r="E498" s="19"/>
      <c r="F498" s="5"/>
      <c r="H498" s="19"/>
      <c r="O498" s="5"/>
      <c r="Q498" s="5"/>
      <c r="R498" s="9"/>
    </row>
    <row r="499">
      <c r="A499" s="44"/>
      <c r="C499" s="5"/>
      <c r="E499" s="19"/>
      <c r="F499" s="5"/>
      <c r="H499" s="19"/>
      <c r="O499" s="5"/>
      <c r="Q499" s="5"/>
      <c r="R499" s="9"/>
    </row>
    <row r="500">
      <c r="A500" s="44"/>
      <c r="C500" s="5"/>
      <c r="E500" s="19"/>
      <c r="F500" s="5"/>
      <c r="H500" s="19"/>
      <c r="O500" s="5"/>
      <c r="Q500" s="5"/>
      <c r="R500" s="9"/>
    </row>
    <row r="501">
      <c r="A501" s="44"/>
      <c r="C501" s="5"/>
      <c r="E501" s="19"/>
      <c r="F501" s="5"/>
      <c r="H501" s="19"/>
      <c r="O501" s="5"/>
      <c r="Q501" s="5"/>
      <c r="R501" s="9"/>
    </row>
    <row r="502">
      <c r="A502" s="44"/>
      <c r="C502" s="5"/>
      <c r="E502" s="19"/>
      <c r="F502" s="5"/>
      <c r="H502" s="19"/>
      <c r="O502" s="5"/>
      <c r="Q502" s="5"/>
      <c r="R502" s="9"/>
    </row>
    <row r="503">
      <c r="A503" s="44"/>
      <c r="C503" s="5"/>
      <c r="E503" s="19"/>
      <c r="F503" s="5"/>
      <c r="H503" s="19"/>
      <c r="O503" s="5"/>
      <c r="Q503" s="5"/>
      <c r="R503" s="9"/>
    </row>
    <row r="504">
      <c r="A504" s="44"/>
      <c r="C504" s="5"/>
      <c r="E504" s="19"/>
      <c r="F504" s="5"/>
      <c r="H504" s="19"/>
      <c r="O504" s="5"/>
      <c r="Q504" s="5"/>
      <c r="R504" s="9"/>
    </row>
    <row r="505">
      <c r="A505" s="44"/>
      <c r="C505" s="5"/>
      <c r="E505" s="19"/>
      <c r="F505" s="5"/>
      <c r="H505" s="19"/>
      <c r="O505" s="5"/>
      <c r="Q505" s="5"/>
      <c r="R505" s="9"/>
    </row>
    <row r="506">
      <c r="A506" s="44"/>
      <c r="C506" s="5"/>
      <c r="E506" s="19"/>
      <c r="F506" s="5"/>
      <c r="H506" s="19"/>
      <c r="O506" s="5"/>
      <c r="Q506" s="5"/>
      <c r="R506" s="9"/>
    </row>
    <row r="507">
      <c r="A507" s="44"/>
      <c r="C507" s="5"/>
      <c r="E507" s="19"/>
      <c r="F507" s="5"/>
      <c r="H507" s="19"/>
      <c r="O507" s="5"/>
      <c r="Q507" s="5"/>
      <c r="R507" s="9"/>
    </row>
    <row r="508">
      <c r="A508" s="44"/>
      <c r="C508" s="5"/>
      <c r="E508" s="19"/>
      <c r="F508" s="5"/>
      <c r="H508" s="19"/>
      <c r="O508" s="5"/>
      <c r="Q508" s="5"/>
      <c r="R508" s="9"/>
    </row>
    <row r="509">
      <c r="A509" s="44"/>
      <c r="C509" s="5"/>
      <c r="E509" s="19"/>
      <c r="F509" s="5"/>
      <c r="H509" s="19"/>
      <c r="O509" s="5"/>
      <c r="Q509" s="5"/>
      <c r="R509" s="9"/>
    </row>
    <row r="510">
      <c r="A510" s="44"/>
      <c r="C510" s="5"/>
      <c r="E510" s="19"/>
      <c r="F510" s="5"/>
      <c r="H510" s="19"/>
      <c r="O510" s="5"/>
      <c r="Q510" s="5"/>
      <c r="R510" s="9"/>
    </row>
    <row r="511">
      <c r="A511" s="44"/>
      <c r="C511" s="5"/>
      <c r="E511" s="19"/>
      <c r="F511" s="5"/>
      <c r="H511" s="19"/>
      <c r="O511" s="5"/>
      <c r="Q511" s="5"/>
      <c r="R511" s="9"/>
    </row>
    <row r="512">
      <c r="A512" s="44"/>
      <c r="C512" s="5"/>
      <c r="E512" s="19"/>
      <c r="F512" s="5"/>
      <c r="H512" s="19"/>
      <c r="O512" s="5"/>
      <c r="Q512" s="5"/>
      <c r="R512" s="9"/>
    </row>
    <row r="513">
      <c r="A513" s="44"/>
      <c r="C513" s="5"/>
      <c r="E513" s="19"/>
      <c r="F513" s="5"/>
      <c r="H513" s="19"/>
      <c r="O513" s="5"/>
      <c r="Q513" s="5"/>
      <c r="R513" s="9"/>
    </row>
    <row r="514">
      <c r="A514" s="44"/>
      <c r="C514" s="5"/>
      <c r="E514" s="19"/>
      <c r="F514" s="5"/>
      <c r="H514" s="19"/>
      <c r="O514" s="5"/>
      <c r="Q514" s="5"/>
      <c r="R514" s="9"/>
    </row>
    <row r="515">
      <c r="A515" s="44"/>
      <c r="C515" s="5"/>
      <c r="E515" s="19"/>
      <c r="F515" s="5"/>
      <c r="H515" s="19"/>
      <c r="O515" s="5"/>
      <c r="Q515" s="5"/>
      <c r="R515" s="9"/>
    </row>
    <row r="516">
      <c r="A516" s="44"/>
      <c r="C516" s="5"/>
      <c r="E516" s="19"/>
      <c r="F516" s="5"/>
      <c r="H516" s="19"/>
      <c r="O516" s="5"/>
      <c r="Q516" s="5"/>
      <c r="R516" s="9"/>
    </row>
    <row r="517">
      <c r="A517" s="44"/>
      <c r="C517" s="5"/>
      <c r="E517" s="19"/>
      <c r="F517" s="5"/>
      <c r="H517" s="19"/>
      <c r="O517" s="5"/>
      <c r="Q517" s="5"/>
      <c r="R517" s="9"/>
    </row>
    <row r="518">
      <c r="A518" s="44"/>
      <c r="C518" s="5"/>
      <c r="E518" s="19"/>
      <c r="F518" s="5"/>
      <c r="H518" s="19"/>
      <c r="O518" s="5"/>
      <c r="Q518" s="5"/>
      <c r="R518" s="9"/>
    </row>
    <row r="519">
      <c r="A519" s="44"/>
      <c r="C519" s="5"/>
      <c r="E519" s="19"/>
      <c r="F519" s="5"/>
      <c r="H519" s="19"/>
      <c r="O519" s="5"/>
      <c r="Q519" s="5"/>
      <c r="R519" s="9"/>
    </row>
    <row r="520">
      <c r="A520" s="44"/>
      <c r="C520" s="5"/>
      <c r="E520" s="19"/>
      <c r="F520" s="5"/>
      <c r="H520" s="19"/>
      <c r="O520" s="5"/>
      <c r="Q520" s="5"/>
      <c r="R520" s="9"/>
    </row>
    <row r="521">
      <c r="A521" s="44"/>
      <c r="C521" s="5"/>
      <c r="E521" s="19"/>
      <c r="F521" s="5"/>
      <c r="H521" s="19"/>
      <c r="O521" s="5"/>
      <c r="Q521" s="5"/>
      <c r="R521" s="9"/>
    </row>
    <row r="522">
      <c r="A522" s="44"/>
      <c r="C522" s="5"/>
      <c r="E522" s="19"/>
      <c r="F522" s="5"/>
      <c r="H522" s="19"/>
      <c r="O522" s="5"/>
      <c r="Q522" s="5"/>
      <c r="R522" s="9"/>
    </row>
    <row r="523">
      <c r="A523" s="44"/>
      <c r="C523" s="5"/>
      <c r="E523" s="19"/>
      <c r="F523" s="5"/>
      <c r="H523" s="19"/>
      <c r="O523" s="5"/>
      <c r="Q523" s="5"/>
      <c r="R523" s="9"/>
    </row>
    <row r="524">
      <c r="A524" s="44"/>
      <c r="C524" s="5"/>
      <c r="E524" s="19"/>
      <c r="F524" s="5"/>
      <c r="H524" s="19"/>
      <c r="O524" s="5"/>
      <c r="Q524" s="5"/>
      <c r="R524" s="9"/>
    </row>
    <row r="525">
      <c r="A525" s="44"/>
      <c r="C525" s="5"/>
      <c r="E525" s="19"/>
      <c r="F525" s="5"/>
      <c r="H525" s="19"/>
      <c r="O525" s="5"/>
      <c r="Q525" s="5"/>
      <c r="R525" s="9"/>
    </row>
    <row r="526">
      <c r="A526" s="44"/>
      <c r="C526" s="5"/>
      <c r="E526" s="19"/>
      <c r="F526" s="5"/>
      <c r="H526" s="19"/>
      <c r="O526" s="5"/>
      <c r="Q526" s="5"/>
      <c r="R526" s="9"/>
    </row>
    <row r="527">
      <c r="A527" s="44"/>
      <c r="C527" s="5"/>
      <c r="E527" s="19"/>
      <c r="F527" s="5"/>
      <c r="H527" s="19"/>
      <c r="O527" s="5"/>
      <c r="Q527" s="5"/>
      <c r="R527" s="9"/>
    </row>
    <row r="528">
      <c r="A528" s="44"/>
      <c r="C528" s="5"/>
      <c r="E528" s="19"/>
      <c r="F528" s="5"/>
      <c r="H528" s="19"/>
      <c r="O528" s="5"/>
      <c r="Q528" s="5"/>
      <c r="R528" s="9"/>
    </row>
    <row r="529">
      <c r="A529" s="44"/>
      <c r="C529" s="5"/>
      <c r="E529" s="19"/>
      <c r="F529" s="5"/>
      <c r="H529" s="19"/>
      <c r="O529" s="5"/>
      <c r="Q529" s="5"/>
      <c r="R529" s="9"/>
    </row>
    <row r="530">
      <c r="A530" s="44"/>
      <c r="C530" s="5"/>
      <c r="E530" s="19"/>
      <c r="F530" s="5"/>
      <c r="H530" s="19"/>
      <c r="O530" s="5"/>
      <c r="Q530" s="5"/>
      <c r="R530" s="9"/>
    </row>
    <row r="531">
      <c r="A531" s="44"/>
      <c r="C531" s="5"/>
      <c r="E531" s="19"/>
      <c r="F531" s="5"/>
      <c r="H531" s="19"/>
      <c r="O531" s="5"/>
      <c r="Q531" s="5"/>
      <c r="R531" s="9"/>
    </row>
    <row r="532">
      <c r="A532" s="44"/>
      <c r="C532" s="5"/>
      <c r="E532" s="19"/>
      <c r="F532" s="5"/>
      <c r="H532" s="19"/>
      <c r="O532" s="5"/>
      <c r="Q532" s="5"/>
      <c r="R532" s="9"/>
    </row>
    <row r="533">
      <c r="A533" s="44"/>
      <c r="C533" s="5"/>
      <c r="E533" s="19"/>
      <c r="F533" s="5"/>
      <c r="H533" s="19"/>
      <c r="O533" s="5"/>
      <c r="Q533" s="5"/>
      <c r="R533" s="9"/>
    </row>
    <row r="534">
      <c r="A534" s="44"/>
      <c r="C534" s="5"/>
      <c r="E534" s="19"/>
      <c r="F534" s="5"/>
      <c r="H534" s="19"/>
      <c r="O534" s="5"/>
      <c r="Q534" s="5"/>
      <c r="R534" s="9"/>
    </row>
    <row r="535">
      <c r="A535" s="44"/>
      <c r="C535" s="5"/>
      <c r="E535" s="19"/>
      <c r="F535" s="5"/>
      <c r="H535" s="19"/>
      <c r="O535" s="5"/>
      <c r="Q535" s="5"/>
      <c r="R535" s="9"/>
    </row>
    <row r="536">
      <c r="A536" s="44"/>
      <c r="C536" s="5"/>
      <c r="E536" s="19"/>
      <c r="F536" s="5"/>
      <c r="H536" s="19"/>
      <c r="O536" s="5"/>
      <c r="Q536" s="5"/>
      <c r="R536" s="9"/>
    </row>
    <row r="537">
      <c r="A537" s="44"/>
      <c r="C537" s="5"/>
      <c r="E537" s="19"/>
      <c r="F537" s="5"/>
      <c r="H537" s="19"/>
      <c r="O537" s="5"/>
      <c r="Q537" s="5"/>
      <c r="R537" s="9"/>
    </row>
    <row r="538">
      <c r="A538" s="44"/>
      <c r="C538" s="5"/>
      <c r="E538" s="19"/>
      <c r="F538" s="5"/>
      <c r="H538" s="19"/>
      <c r="O538" s="5"/>
      <c r="Q538" s="5"/>
      <c r="R538" s="9"/>
    </row>
    <row r="539">
      <c r="A539" s="44"/>
      <c r="C539" s="5"/>
      <c r="E539" s="19"/>
      <c r="F539" s="5"/>
      <c r="H539" s="19"/>
      <c r="O539" s="5"/>
      <c r="Q539" s="5"/>
      <c r="R539" s="9"/>
    </row>
    <row r="540">
      <c r="A540" s="44"/>
      <c r="C540" s="5"/>
      <c r="E540" s="19"/>
      <c r="F540" s="5"/>
      <c r="H540" s="19"/>
      <c r="O540" s="5"/>
      <c r="Q540" s="5"/>
      <c r="R540" s="9"/>
    </row>
    <row r="541">
      <c r="A541" s="44"/>
      <c r="C541" s="5"/>
      <c r="E541" s="19"/>
      <c r="F541" s="5"/>
      <c r="H541" s="19"/>
      <c r="O541" s="5"/>
      <c r="Q541" s="5"/>
      <c r="R541" s="9"/>
    </row>
    <row r="542">
      <c r="A542" s="44"/>
      <c r="C542" s="5"/>
      <c r="E542" s="19"/>
      <c r="F542" s="5"/>
      <c r="H542" s="19"/>
      <c r="O542" s="5"/>
      <c r="Q542" s="5"/>
      <c r="R542" s="9"/>
    </row>
    <row r="543">
      <c r="A543" s="44"/>
      <c r="C543" s="5"/>
      <c r="E543" s="19"/>
      <c r="F543" s="5"/>
      <c r="H543" s="19"/>
      <c r="O543" s="5"/>
      <c r="Q543" s="5"/>
      <c r="R543" s="9"/>
    </row>
    <row r="544">
      <c r="A544" s="44"/>
      <c r="C544" s="5"/>
      <c r="E544" s="19"/>
      <c r="F544" s="5"/>
      <c r="H544" s="19"/>
      <c r="O544" s="5"/>
      <c r="Q544" s="5"/>
      <c r="R544" s="9"/>
    </row>
    <row r="545">
      <c r="A545" s="44"/>
      <c r="C545" s="5"/>
      <c r="E545" s="19"/>
      <c r="F545" s="5"/>
      <c r="H545" s="19"/>
      <c r="O545" s="5"/>
      <c r="Q545" s="5"/>
      <c r="R545" s="9"/>
    </row>
    <row r="546">
      <c r="A546" s="44"/>
      <c r="C546" s="5"/>
      <c r="E546" s="19"/>
      <c r="F546" s="5"/>
      <c r="H546" s="19"/>
      <c r="O546" s="5"/>
      <c r="Q546" s="5"/>
      <c r="R546" s="9"/>
    </row>
    <row r="547">
      <c r="A547" s="44"/>
      <c r="C547" s="5"/>
      <c r="E547" s="19"/>
      <c r="F547" s="5"/>
      <c r="H547" s="19"/>
      <c r="O547" s="5"/>
      <c r="Q547" s="5"/>
      <c r="R547" s="9"/>
    </row>
    <row r="548">
      <c r="A548" s="44"/>
      <c r="C548" s="5"/>
      <c r="E548" s="19"/>
      <c r="F548" s="5"/>
      <c r="H548" s="19"/>
      <c r="O548" s="5"/>
      <c r="Q548" s="5"/>
      <c r="R548" s="9"/>
    </row>
    <row r="549">
      <c r="A549" s="44"/>
      <c r="C549" s="5"/>
      <c r="E549" s="19"/>
      <c r="F549" s="5"/>
      <c r="H549" s="19"/>
      <c r="O549" s="5"/>
      <c r="Q549" s="5"/>
      <c r="R549" s="9"/>
    </row>
    <row r="550">
      <c r="A550" s="44"/>
      <c r="C550" s="5"/>
      <c r="E550" s="19"/>
      <c r="F550" s="5"/>
      <c r="H550" s="19"/>
      <c r="O550" s="5"/>
      <c r="Q550" s="5"/>
      <c r="R550" s="9"/>
    </row>
    <row r="551">
      <c r="A551" s="44"/>
      <c r="C551" s="5"/>
      <c r="E551" s="19"/>
      <c r="F551" s="5"/>
      <c r="H551" s="19"/>
      <c r="O551" s="5"/>
      <c r="Q551" s="5"/>
      <c r="R551" s="9"/>
    </row>
    <row r="552">
      <c r="A552" s="44"/>
      <c r="C552" s="5"/>
      <c r="E552" s="19"/>
      <c r="F552" s="5"/>
      <c r="H552" s="19"/>
      <c r="O552" s="5"/>
      <c r="Q552" s="5"/>
      <c r="R552" s="9"/>
    </row>
    <row r="553">
      <c r="A553" s="44"/>
      <c r="C553" s="5"/>
      <c r="E553" s="19"/>
      <c r="F553" s="5"/>
      <c r="H553" s="19"/>
      <c r="O553" s="5"/>
      <c r="Q553" s="5"/>
      <c r="R553" s="9"/>
    </row>
    <row r="554">
      <c r="A554" s="44"/>
      <c r="C554" s="5"/>
      <c r="E554" s="19"/>
      <c r="F554" s="5"/>
      <c r="H554" s="19"/>
      <c r="O554" s="5"/>
      <c r="Q554" s="5"/>
      <c r="R554" s="9"/>
    </row>
    <row r="555">
      <c r="A555" s="44"/>
      <c r="C555" s="5"/>
      <c r="E555" s="19"/>
      <c r="F555" s="5"/>
      <c r="H555" s="19"/>
      <c r="O555" s="5"/>
      <c r="Q555" s="5"/>
      <c r="R555" s="9"/>
    </row>
    <row r="556">
      <c r="A556" s="44"/>
      <c r="C556" s="5"/>
      <c r="E556" s="19"/>
      <c r="F556" s="5"/>
      <c r="H556" s="19"/>
      <c r="O556" s="5"/>
      <c r="Q556" s="5"/>
      <c r="R556" s="9"/>
    </row>
    <row r="557">
      <c r="A557" s="44"/>
      <c r="C557" s="5"/>
      <c r="E557" s="19"/>
      <c r="F557" s="5"/>
      <c r="H557" s="19"/>
      <c r="O557" s="5"/>
      <c r="Q557" s="5"/>
      <c r="R557" s="9"/>
    </row>
    <row r="558">
      <c r="A558" s="44"/>
      <c r="C558" s="5"/>
      <c r="E558" s="19"/>
      <c r="F558" s="5"/>
      <c r="H558" s="19"/>
      <c r="O558" s="5"/>
      <c r="Q558" s="5"/>
      <c r="R558" s="9"/>
    </row>
    <row r="559">
      <c r="A559" s="44"/>
      <c r="C559" s="5"/>
      <c r="E559" s="19"/>
      <c r="F559" s="5"/>
      <c r="H559" s="19"/>
      <c r="O559" s="5"/>
      <c r="Q559" s="5"/>
      <c r="R559" s="9"/>
    </row>
    <row r="560">
      <c r="A560" s="44"/>
      <c r="C560" s="5"/>
      <c r="E560" s="19"/>
      <c r="F560" s="5"/>
      <c r="H560" s="19"/>
      <c r="O560" s="5"/>
      <c r="Q560" s="5"/>
      <c r="R560" s="9"/>
    </row>
    <row r="561">
      <c r="A561" s="44"/>
      <c r="C561" s="5"/>
      <c r="E561" s="19"/>
      <c r="F561" s="5"/>
      <c r="H561" s="19"/>
      <c r="O561" s="5"/>
      <c r="Q561" s="5"/>
      <c r="R561" s="9"/>
    </row>
    <row r="562">
      <c r="A562" s="44"/>
      <c r="C562" s="5"/>
      <c r="E562" s="19"/>
      <c r="F562" s="5"/>
      <c r="H562" s="19"/>
      <c r="O562" s="5"/>
      <c r="Q562" s="5"/>
      <c r="R562" s="9"/>
    </row>
    <row r="563">
      <c r="A563" s="44"/>
      <c r="C563" s="5"/>
      <c r="E563" s="19"/>
      <c r="F563" s="5"/>
      <c r="H563" s="19"/>
      <c r="O563" s="5"/>
      <c r="Q563" s="5"/>
      <c r="R563" s="9"/>
    </row>
    <row r="564">
      <c r="A564" s="44"/>
      <c r="C564" s="5"/>
      <c r="E564" s="19"/>
      <c r="F564" s="5"/>
      <c r="H564" s="19"/>
      <c r="O564" s="5"/>
      <c r="Q564" s="5"/>
      <c r="R564" s="9"/>
    </row>
    <row r="565">
      <c r="A565" s="44"/>
      <c r="C565" s="5"/>
      <c r="E565" s="19"/>
      <c r="F565" s="5"/>
      <c r="H565" s="19"/>
      <c r="O565" s="5"/>
      <c r="Q565" s="5"/>
      <c r="R565" s="9"/>
    </row>
    <row r="566">
      <c r="A566" s="44"/>
      <c r="C566" s="5"/>
      <c r="E566" s="19"/>
      <c r="F566" s="5"/>
      <c r="H566" s="19"/>
      <c r="O566" s="5"/>
      <c r="Q566" s="5"/>
      <c r="R566" s="9"/>
    </row>
    <row r="567">
      <c r="A567" s="44"/>
      <c r="C567" s="5"/>
      <c r="E567" s="19"/>
      <c r="F567" s="5"/>
      <c r="H567" s="19"/>
      <c r="O567" s="5"/>
      <c r="Q567" s="5"/>
      <c r="R567" s="9"/>
    </row>
    <row r="568">
      <c r="A568" s="44"/>
      <c r="C568" s="5"/>
      <c r="E568" s="19"/>
      <c r="F568" s="5"/>
      <c r="H568" s="19"/>
      <c r="O568" s="5"/>
      <c r="Q568" s="5"/>
      <c r="R568" s="9"/>
    </row>
    <row r="569">
      <c r="A569" s="44"/>
      <c r="C569" s="5"/>
      <c r="E569" s="19"/>
      <c r="F569" s="5"/>
      <c r="H569" s="19"/>
      <c r="O569" s="5"/>
      <c r="Q569" s="5"/>
      <c r="R569" s="9"/>
    </row>
    <row r="570">
      <c r="A570" s="44"/>
      <c r="C570" s="5"/>
      <c r="E570" s="19"/>
      <c r="F570" s="5"/>
      <c r="H570" s="19"/>
      <c r="O570" s="5"/>
      <c r="Q570" s="5"/>
      <c r="R570" s="9"/>
    </row>
    <row r="571">
      <c r="A571" s="44"/>
      <c r="C571" s="5"/>
      <c r="E571" s="19"/>
      <c r="F571" s="5"/>
      <c r="H571" s="19"/>
      <c r="O571" s="5"/>
      <c r="Q571" s="5"/>
      <c r="R571" s="9"/>
    </row>
    <row r="572">
      <c r="A572" s="44"/>
      <c r="C572" s="5"/>
      <c r="E572" s="19"/>
      <c r="F572" s="5"/>
      <c r="H572" s="19"/>
      <c r="O572" s="5"/>
      <c r="Q572" s="5"/>
      <c r="R572" s="9"/>
    </row>
    <row r="573">
      <c r="A573" s="44"/>
      <c r="C573" s="5"/>
      <c r="E573" s="19"/>
      <c r="F573" s="5"/>
      <c r="H573" s="19"/>
      <c r="O573" s="5"/>
      <c r="Q573" s="5"/>
      <c r="R573" s="9"/>
    </row>
    <row r="574">
      <c r="A574" s="44"/>
      <c r="C574" s="5"/>
      <c r="E574" s="19"/>
      <c r="F574" s="5"/>
      <c r="H574" s="19"/>
      <c r="O574" s="5"/>
      <c r="Q574" s="5"/>
      <c r="R574" s="9"/>
    </row>
    <row r="575">
      <c r="A575" s="44"/>
      <c r="C575" s="5"/>
      <c r="E575" s="19"/>
      <c r="F575" s="5"/>
      <c r="H575" s="19"/>
      <c r="O575" s="5"/>
      <c r="Q575" s="5"/>
      <c r="R575" s="9"/>
    </row>
    <row r="576">
      <c r="A576" s="44"/>
      <c r="C576" s="5"/>
      <c r="E576" s="19"/>
      <c r="F576" s="5"/>
      <c r="H576" s="19"/>
      <c r="O576" s="5"/>
      <c r="Q576" s="5"/>
      <c r="R576" s="9"/>
    </row>
    <row r="577">
      <c r="A577" s="44"/>
      <c r="C577" s="5"/>
      <c r="E577" s="19"/>
      <c r="F577" s="5"/>
      <c r="H577" s="19"/>
      <c r="O577" s="5"/>
      <c r="Q577" s="5"/>
      <c r="R577" s="9"/>
    </row>
    <row r="578">
      <c r="A578" s="44"/>
      <c r="C578" s="5"/>
      <c r="E578" s="19"/>
      <c r="F578" s="5"/>
      <c r="H578" s="19"/>
      <c r="O578" s="5"/>
      <c r="Q578" s="5"/>
      <c r="R578" s="9"/>
    </row>
    <row r="579">
      <c r="A579" s="44"/>
      <c r="C579" s="5"/>
      <c r="E579" s="19"/>
      <c r="F579" s="5"/>
      <c r="H579" s="19"/>
      <c r="O579" s="5"/>
      <c r="Q579" s="5"/>
      <c r="R579" s="9"/>
    </row>
    <row r="580">
      <c r="A580" s="44"/>
      <c r="C580" s="5"/>
      <c r="E580" s="19"/>
      <c r="F580" s="5"/>
      <c r="H580" s="19"/>
      <c r="O580" s="5"/>
      <c r="Q580" s="5"/>
      <c r="R580" s="9"/>
    </row>
    <row r="581">
      <c r="A581" s="44"/>
      <c r="C581" s="5"/>
      <c r="E581" s="19"/>
      <c r="F581" s="5"/>
      <c r="H581" s="19"/>
      <c r="O581" s="5"/>
      <c r="Q581" s="5"/>
      <c r="R581" s="9"/>
    </row>
    <row r="582">
      <c r="A582" s="44"/>
      <c r="C582" s="5"/>
      <c r="E582" s="19"/>
      <c r="F582" s="5"/>
      <c r="H582" s="19"/>
      <c r="O582" s="5"/>
      <c r="Q582" s="5"/>
      <c r="R582" s="9"/>
    </row>
    <row r="583">
      <c r="A583" s="44"/>
      <c r="C583" s="5"/>
      <c r="E583" s="19"/>
      <c r="F583" s="5"/>
      <c r="H583" s="19"/>
      <c r="O583" s="5"/>
      <c r="Q583" s="5"/>
      <c r="R583" s="9"/>
    </row>
    <row r="584">
      <c r="A584" s="44"/>
      <c r="C584" s="5"/>
      <c r="E584" s="19"/>
      <c r="F584" s="5"/>
      <c r="H584" s="19"/>
      <c r="O584" s="5"/>
      <c r="Q584" s="5"/>
      <c r="R584" s="9"/>
    </row>
    <row r="585">
      <c r="A585" s="44"/>
      <c r="C585" s="5"/>
      <c r="E585" s="19"/>
      <c r="F585" s="5"/>
      <c r="H585" s="19"/>
      <c r="O585" s="5"/>
      <c r="Q585" s="5"/>
      <c r="R585" s="9"/>
    </row>
    <row r="586">
      <c r="A586" s="44"/>
      <c r="C586" s="5"/>
      <c r="E586" s="19"/>
      <c r="F586" s="5"/>
      <c r="H586" s="19"/>
      <c r="O586" s="5"/>
      <c r="Q586" s="5"/>
      <c r="R586" s="9"/>
    </row>
    <row r="587">
      <c r="A587" s="44"/>
      <c r="C587" s="5"/>
      <c r="E587" s="19"/>
      <c r="F587" s="5"/>
      <c r="H587" s="19"/>
      <c r="O587" s="5"/>
      <c r="Q587" s="5"/>
      <c r="R587" s="9"/>
    </row>
    <row r="588">
      <c r="A588" s="44"/>
      <c r="C588" s="5"/>
      <c r="E588" s="19"/>
      <c r="F588" s="5"/>
      <c r="H588" s="19"/>
      <c r="O588" s="5"/>
      <c r="Q588" s="5"/>
      <c r="R588" s="9"/>
    </row>
    <row r="589">
      <c r="A589" s="44"/>
      <c r="C589" s="5"/>
      <c r="E589" s="19"/>
      <c r="F589" s="5"/>
      <c r="H589" s="19"/>
      <c r="O589" s="5"/>
      <c r="Q589" s="5"/>
      <c r="R589" s="9"/>
    </row>
    <row r="590">
      <c r="A590" s="44"/>
      <c r="C590" s="5"/>
      <c r="E590" s="19"/>
      <c r="F590" s="5"/>
      <c r="H590" s="19"/>
      <c r="O590" s="5"/>
      <c r="Q590" s="5"/>
      <c r="R590" s="9"/>
    </row>
    <row r="591">
      <c r="A591" s="44"/>
      <c r="C591" s="5"/>
      <c r="E591" s="19"/>
      <c r="F591" s="5"/>
      <c r="H591" s="19"/>
      <c r="O591" s="5"/>
      <c r="Q591" s="5"/>
      <c r="R591" s="9"/>
    </row>
    <row r="592">
      <c r="A592" s="44"/>
      <c r="C592" s="5"/>
      <c r="E592" s="19"/>
      <c r="F592" s="5"/>
      <c r="H592" s="19"/>
      <c r="O592" s="5"/>
      <c r="Q592" s="5"/>
      <c r="R592" s="9"/>
    </row>
    <row r="593">
      <c r="A593" s="44"/>
      <c r="C593" s="5"/>
      <c r="E593" s="19"/>
      <c r="F593" s="5"/>
      <c r="H593" s="19"/>
      <c r="O593" s="5"/>
      <c r="Q593" s="5"/>
      <c r="R593" s="9"/>
    </row>
    <row r="594">
      <c r="A594" s="44"/>
      <c r="C594" s="5"/>
      <c r="E594" s="19"/>
      <c r="F594" s="5"/>
      <c r="H594" s="19"/>
      <c r="O594" s="5"/>
      <c r="Q594" s="5"/>
      <c r="R594" s="9"/>
    </row>
    <row r="595">
      <c r="A595" s="44"/>
      <c r="C595" s="5"/>
      <c r="E595" s="19"/>
      <c r="F595" s="5"/>
      <c r="H595" s="19"/>
      <c r="O595" s="5"/>
      <c r="Q595" s="5"/>
      <c r="R595" s="9"/>
    </row>
    <row r="596">
      <c r="A596" s="44"/>
      <c r="C596" s="5"/>
      <c r="E596" s="19"/>
      <c r="F596" s="5"/>
      <c r="H596" s="19"/>
      <c r="O596" s="5"/>
      <c r="Q596" s="5"/>
      <c r="R596" s="9"/>
    </row>
    <row r="597">
      <c r="A597" s="44"/>
      <c r="C597" s="5"/>
      <c r="E597" s="19"/>
      <c r="F597" s="5"/>
      <c r="H597" s="19"/>
      <c r="O597" s="5"/>
      <c r="Q597" s="5"/>
      <c r="R597" s="9"/>
    </row>
    <row r="598">
      <c r="A598" s="44"/>
      <c r="C598" s="5"/>
      <c r="E598" s="19"/>
      <c r="F598" s="5"/>
      <c r="H598" s="19"/>
      <c r="O598" s="5"/>
      <c r="Q598" s="5"/>
      <c r="R598" s="9"/>
    </row>
    <row r="599">
      <c r="A599" s="44"/>
      <c r="C599" s="5"/>
      <c r="E599" s="19"/>
      <c r="F599" s="5"/>
      <c r="H599" s="19"/>
      <c r="O599" s="5"/>
      <c r="Q599" s="5"/>
      <c r="R599" s="9"/>
    </row>
    <row r="600">
      <c r="A600" s="44"/>
      <c r="C600" s="5"/>
      <c r="E600" s="19"/>
      <c r="F600" s="5"/>
      <c r="H600" s="19"/>
      <c r="O600" s="5"/>
      <c r="Q600" s="5"/>
      <c r="R600" s="9"/>
    </row>
    <row r="601">
      <c r="A601" s="44"/>
      <c r="C601" s="5"/>
      <c r="E601" s="19"/>
      <c r="F601" s="5"/>
      <c r="H601" s="19"/>
      <c r="O601" s="5"/>
      <c r="Q601" s="5"/>
      <c r="R601" s="9"/>
    </row>
    <row r="602">
      <c r="A602" s="44"/>
      <c r="C602" s="5"/>
      <c r="E602" s="19"/>
      <c r="F602" s="5"/>
      <c r="H602" s="19"/>
      <c r="O602" s="5"/>
      <c r="Q602" s="5"/>
      <c r="R602" s="9"/>
    </row>
    <row r="603">
      <c r="A603" s="44"/>
      <c r="C603" s="5"/>
      <c r="E603" s="19"/>
      <c r="F603" s="5"/>
      <c r="H603" s="19"/>
      <c r="O603" s="5"/>
      <c r="Q603" s="5"/>
      <c r="R603" s="9"/>
    </row>
    <row r="604">
      <c r="A604" s="44"/>
      <c r="C604" s="5"/>
      <c r="E604" s="19"/>
      <c r="F604" s="5"/>
      <c r="H604" s="19"/>
      <c r="O604" s="5"/>
      <c r="Q604" s="5"/>
      <c r="R604" s="9"/>
    </row>
    <row r="605">
      <c r="A605" s="44"/>
      <c r="C605" s="5"/>
      <c r="E605" s="19"/>
      <c r="F605" s="5"/>
      <c r="H605" s="19"/>
      <c r="O605" s="5"/>
      <c r="Q605" s="5"/>
      <c r="R605" s="9"/>
    </row>
    <row r="606">
      <c r="A606" s="44"/>
      <c r="C606" s="5"/>
      <c r="E606" s="19"/>
      <c r="F606" s="5"/>
      <c r="H606" s="19"/>
      <c r="O606" s="5"/>
      <c r="Q606" s="5"/>
      <c r="R606" s="9"/>
    </row>
    <row r="607">
      <c r="A607" s="44"/>
      <c r="C607" s="5"/>
      <c r="E607" s="19"/>
      <c r="F607" s="5"/>
      <c r="H607" s="19"/>
      <c r="O607" s="5"/>
      <c r="Q607" s="5"/>
      <c r="R607" s="9"/>
    </row>
    <row r="608">
      <c r="A608" s="44"/>
      <c r="C608" s="5"/>
      <c r="E608" s="19"/>
      <c r="F608" s="5"/>
      <c r="H608" s="19"/>
      <c r="O608" s="5"/>
      <c r="Q608" s="5"/>
      <c r="R608" s="9"/>
    </row>
    <row r="609">
      <c r="A609" s="44"/>
      <c r="C609" s="5"/>
      <c r="E609" s="19"/>
      <c r="F609" s="5"/>
      <c r="H609" s="19"/>
      <c r="O609" s="5"/>
      <c r="Q609" s="5"/>
      <c r="R609" s="9"/>
    </row>
    <row r="610">
      <c r="A610" s="44"/>
      <c r="C610" s="5"/>
      <c r="E610" s="19"/>
      <c r="F610" s="5"/>
      <c r="H610" s="19"/>
      <c r="O610" s="5"/>
      <c r="Q610" s="5"/>
      <c r="R610" s="9"/>
    </row>
    <row r="611">
      <c r="A611" s="44"/>
      <c r="C611" s="5"/>
      <c r="E611" s="19"/>
      <c r="F611" s="5"/>
      <c r="H611" s="19"/>
      <c r="O611" s="5"/>
      <c r="Q611" s="5"/>
      <c r="R611" s="9"/>
    </row>
    <row r="612">
      <c r="A612" s="44"/>
      <c r="C612" s="5"/>
      <c r="E612" s="19"/>
      <c r="F612" s="5"/>
      <c r="H612" s="19"/>
      <c r="O612" s="5"/>
      <c r="Q612" s="5"/>
      <c r="R612" s="9"/>
    </row>
    <row r="613">
      <c r="A613" s="44"/>
      <c r="C613" s="5"/>
      <c r="E613" s="19"/>
      <c r="F613" s="5"/>
      <c r="H613" s="19"/>
      <c r="O613" s="5"/>
      <c r="Q613" s="5"/>
      <c r="R613" s="9"/>
    </row>
    <row r="614">
      <c r="A614" s="44"/>
      <c r="C614" s="5"/>
      <c r="E614" s="19"/>
      <c r="F614" s="5"/>
      <c r="H614" s="19"/>
      <c r="O614" s="5"/>
      <c r="Q614" s="5"/>
      <c r="R614" s="9"/>
    </row>
    <row r="615">
      <c r="A615" s="44"/>
      <c r="C615" s="5"/>
      <c r="E615" s="19"/>
      <c r="F615" s="5"/>
      <c r="H615" s="19"/>
      <c r="O615" s="5"/>
      <c r="Q615" s="5"/>
      <c r="R615" s="9"/>
    </row>
    <row r="616">
      <c r="A616" s="44"/>
      <c r="C616" s="5"/>
      <c r="E616" s="19"/>
      <c r="F616" s="5"/>
      <c r="H616" s="19"/>
      <c r="O616" s="5"/>
      <c r="Q616" s="5"/>
      <c r="R616" s="9"/>
    </row>
    <row r="617">
      <c r="A617" s="44"/>
      <c r="C617" s="5"/>
      <c r="E617" s="19"/>
      <c r="F617" s="5"/>
      <c r="H617" s="19"/>
      <c r="O617" s="5"/>
      <c r="Q617" s="5"/>
      <c r="R617" s="9"/>
    </row>
    <row r="618">
      <c r="A618" s="44"/>
      <c r="C618" s="5"/>
      <c r="E618" s="19"/>
      <c r="F618" s="5"/>
      <c r="H618" s="19"/>
      <c r="O618" s="5"/>
      <c r="Q618" s="5"/>
      <c r="R618" s="9"/>
    </row>
    <row r="619">
      <c r="A619" s="44"/>
      <c r="C619" s="5"/>
      <c r="E619" s="19"/>
      <c r="F619" s="5"/>
      <c r="H619" s="19"/>
      <c r="O619" s="5"/>
      <c r="Q619" s="5"/>
      <c r="R619" s="9"/>
    </row>
    <row r="620">
      <c r="A620" s="44"/>
      <c r="C620" s="5"/>
      <c r="E620" s="19"/>
      <c r="F620" s="5"/>
      <c r="H620" s="19"/>
      <c r="O620" s="5"/>
      <c r="Q620" s="5"/>
      <c r="R620" s="9"/>
    </row>
    <row r="621">
      <c r="A621" s="44"/>
      <c r="C621" s="5"/>
      <c r="E621" s="19"/>
      <c r="F621" s="5"/>
      <c r="H621" s="19"/>
      <c r="O621" s="5"/>
      <c r="Q621" s="5"/>
      <c r="R621" s="9"/>
    </row>
    <row r="622">
      <c r="A622" s="44"/>
      <c r="C622" s="5"/>
      <c r="E622" s="19"/>
      <c r="F622" s="5"/>
      <c r="H622" s="19"/>
      <c r="O622" s="5"/>
      <c r="Q622" s="5"/>
      <c r="R622" s="9"/>
    </row>
    <row r="623">
      <c r="A623" s="44"/>
      <c r="C623" s="5"/>
      <c r="E623" s="19"/>
      <c r="F623" s="5"/>
      <c r="H623" s="19"/>
      <c r="O623" s="5"/>
      <c r="Q623" s="5"/>
      <c r="R623" s="9"/>
    </row>
    <row r="624">
      <c r="A624" s="44"/>
      <c r="C624" s="5"/>
      <c r="E624" s="19"/>
      <c r="F624" s="5"/>
      <c r="H624" s="19"/>
      <c r="O624" s="5"/>
      <c r="Q624" s="5"/>
      <c r="R624" s="9"/>
    </row>
    <row r="625">
      <c r="A625" s="44"/>
      <c r="C625" s="5"/>
      <c r="E625" s="19"/>
      <c r="F625" s="5"/>
      <c r="H625" s="19"/>
      <c r="O625" s="5"/>
      <c r="Q625" s="5"/>
      <c r="R625" s="9"/>
    </row>
    <row r="626">
      <c r="A626" s="44"/>
      <c r="C626" s="5"/>
      <c r="E626" s="19"/>
      <c r="F626" s="5"/>
      <c r="H626" s="19"/>
      <c r="O626" s="5"/>
      <c r="Q626" s="5"/>
      <c r="R626" s="9"/>
    </row>
    <row r="627">
      <c r="A627" s="44"/>
      <c r="C627" s="5"/>
      <c r="E627" s="19"/>
      <c r="F627" s="5"/>
      <c r="H627" s="19"/>
      <c r="O627" s="5"/>
      <c r="Q627" s="5"/>
      <c r="R627" s="9"/>
    </row>
    <row r="628">
      <c r="A628" s="44"/>
      <c r="C628" s="5"/>
      <c r="E628" s="19"/>
      <c r="F628" s="5"/>
      <c r="H628" s="19"/>
      <c r="O628" s="5"/>
      <c r="Q628" s="5"/>
      <c r="R628" s="9"/>
    </row>
    <row r="629">
      <c r="A629" s="44"/>
      <c r="C629" s="5"/>
      <c r="E629" s="19"/>
      <c r="F629" s="5"/>
      <c r="H629" s="19"/>
      <c r="O629" s="5"/>
      <c r="Q629" s="5"/>
      <c r="R629" s="9"/>
    </row>
    <row r="630">
      <c r="A630" s="44"/>
      <c r="C630" s="5"/>
      <c r="E630" s="19"/>
      <c r="F630" s="5"/>
      <c r="H630" s="19"/>
      <c r="O630" s="5"/>
      <c r="Q630" s="5"/>
      <c r="R630" s="9"/>
    </row>
    <row r="631">
      <c r="A631" s="44"/>
      <c r="C631" s="5"/>
      <c r="E631" s="19"/>
      <c r="F631" s="5"/>
      <c r="H631" s="19"/>
      <c r="O631" s="5"/>
      <c r="Q631" s="5"/>
      <c r="R631" s="9"/>
    </row>
    <row r="632">
      <c r="A632" s="44"/>
      <c r="C632" s="5"/>
      <c r="E632" s="19"/>
      <c r="F632" s="5"/>
      <c r="H632" s="19"/>
      <c r="O632" s="5"/>
      <c r="Q632" s="5"/>
      <c r="R632" s="9"/>
    </row>
    <row r="633">
      <c r="A633" s="44"/>
      <c r="C633" s="5"/>
      <c r="E633" s="19"/>
      <c r="F633" s="5"/>
      <c r="H633" s="19"/>
      <c r="O633" s="5"/>
      <c r="Q633" s="5"/>
      <c r="R633" s="9"/>
    </row>
    <row r="634">
      <c r="A634" s="44"/>
      <c r="C634" s="5"/>
      <c r="E634" s="19"/>
      <c r="F634" s="5"/>
      <c r="H634" s="19"/>
      <c r="O634" s="5"/>
      <c r="Q634" s="5"/>
      <c r="R634" s="9"/>
    </row>
    <row r="635">
      <c r="A635" s="44"/>
      <c r="C635" s="5"/>
      <c r="E635" s="19"/>
      <c r="F635" s="5"/>
      <c r="H635" s="19"/>
      <c r="O635" s="5"/>
      <c r="Q635" s="5"/>
      <c r="R635" s="9"/>
    </row>
    <row r="636">
      <c r="A636" s="44"/>
      <c r="C636" s="5"/>
      <c r="E636" s="19"/>
      <c r="F636" s="5"/>
      <c r="H636" s="19"/>
      <c r="O636" s="5"/>
      <c r="Q636" s="5"/>
      <c r="R636" s="9"/>
    </row>
    <row r="637">
      <c r="A637" s="44"/>
      <c r="C637" s="5"/>
      <c r="E637" s="19"/>
      <c r="F637" s="5"/>
      <c r="H637" s="19"/>
      <c r="O637" s="5"/>
      <c r="Q637" s="5"/>
      <c r="R637" s="9"/>
    </row>
    <row r="638">
      <c r="A638" s="44"/>
      <c r="C638" s="5"/>
      <c r="E638" s="19"/>
      <c r="F638" s="5"/>
      <c r="H638" s="19"/>
      <c r="O638" s="5"/>
      <c r="Q638" s="5"/>
      <c r="R638" s="9"/>
    </row>
    <row r="639">
      <c r="A639" s="44"/>
      <c r="C639" s="5"/>
      <c r="E639" s="19"/>
      <c r="F639" s="5"/>
      <c r="H639" s="19"/>
      <c r="O639" s="5"/>
      <c r="Q639" s="5"/>
      <c r="R639" s="9"/>
    </row>
    <row r="640">
      <c r="A640" s="44"/>
      <c r="C640" s="5"/>
      <c r="E640" s="19"/>
      <c r="F640" s="5"/>
      <c r="H640" s="19"/>
      <c r="O640" s="5"/>
      <c r="Q640" s="5"/>
      <c r="R640" s="9"/>
    </row>
    <row r="641">
      <c r="A641" s="44"/>
      <c r="C641" s="5"/>
      <c r="E641" s="19"/>
      <c r="F641" s="5"/>
      <c r="H641" s="19"/>
      <c r="O641" s="5"/>
      <c r="Q641" s="5"/>
      <c r="R641" s="9"/>
    </row>
    <row r="642">
      <c r="A642" s="44"/>
      <c r="C642" s="5"/>
      <c r="E642" s="19"/>
      <c r="F642" s="5"/>
      <c r="H642" s="19"/>
      <c r="O642" s="5"/>
      <c r="Q642" s="5"/>
      <c r="R642" s="9"/>
    </row>
    <row r="643">
      <c r="A643" s="44"/>
      <c r="C643" s="5"/>
      <c r="E643" s="19"/>
      <c r="F643" s="5"/>
      <c r="H643" s="19"/>
      <c r="O643" s="5"/>
      <c r="Q643" s="5"/>
      <c r="R643" s="9"/>
    </row>
    <row r="644">
      <c r="A644" s="44"/>
      <c r="C644" s="5"/>
      <c r="E644" s="19"/>
      <c r="F644" s="5"/>
      <c r="H644" s="19"/>
      <c r="O644" s="5"/>
      <c r="Q644" s="5"/>
      <c r="R644" s="9"/>
    </row>
    <row r="645">
      <c r="A645" s="44"/>
      <c r="C645" s="5"/>
      <c r="E645" s="19"/>
      <c r="F645" s="5"/>
      <c r="H645" s="19"/>
      <c r="O645" s="5"/>
      <c r="Q645" s="5"/>
      <c r="R645" s="9"/>
    </row>
    <row r="646">
      <c r="A646" s="44"/>
      <c r="C646" s="5"/>
      <c r="E646" s="19"/>
      <c r="F646" s="5"/>
      <c r="H646" s="19"/>
      <c r="O646" s="5"/>
      <c r="Q646" s="5"/>
      <c r="R646" s="9"/>
    </row>
    <row r="647">
      <c r="A647" s="44"/>
      <c r="C647" s="5"/>
      <c r="E647" s="19"/>
      <c r="F647" s="5"/>
      <c r="H647" s="19"/>
      <c r="O647" s="5"/>
      <c r="Q647" s="5"/>
      <c r="R647" s="9"/>
    </row>
    <row r="648">
      <c r="A648" s="44"/>
      <c r="C648" s="5"/>
      <c r="E648" s="19"/>
      <c r="F648" s="5"/>
      <c r="H648" s="19"/>
      <c r="O648" s="5"/>
      <c r="Q648" s="5"/>
      <c r="R648" s="9"/>
    </row>
    <row r="649">
      <c r="A649" s="44"/>
      <c r="C649" s="5"/>
      <c r="E649" s="19"/>
      <c r="F649" s="5"/>
      <c r="H649" s="19"/>
      <c r="O649" s="5"/>
      <c r="Q649" s="5"/>
      <c r="R649" s="9"/>
    </row>
    <row r="650">
      <c r="A650" s="44"/>
      <c r="C650" s="5"/>
      <c r="E650" s="19"/>
      <c r="F650" s="5"/>
      <c r="H650" s="19"/>
      <c r="O650" s="5"/>
      <c r="Q650" s="5"/>
      <c r="R650" s="9"/>
    </row>
    <row r="651">
      <c r="A651" s="44"/>
      <c r="C651" s="5"/>
      <c r="E651" s="19"/>
      <c r="F651" s="5"/>
      <c r="H651" s="19"/>
      <c r="O651" s="5"/>
      <c r="Q651" s="5"/>
      <c r="R651" s="9"/>
    </row>
    <row r="652">
      <c r="A652" s="44"/>
      <c r="C652" s="5"/>
      <c r="E652" s="19"/>
      <c r="F652" s="5"/>
      <c r="H652" s="19"/>
      <c r="O652" s="5"/>
      <c r="Q652" s="5"/>
      <c r="R652" s="9"/>
    </row>
    <row r="653">
      <c r="A653" s="44"/>
      <c r="C653" s="5"/>
      <c r="E653" s="19"/>
      <c r="F653" s="5"/>
      <c r="H653" s="19"/>
      <c r="O653" s="5"/>
      <c r="Q653" s="5"/>
      <c r="R653" s="9"/>
    </row>
    <row r="654">
      <c r="A654" s="44"/>
      <c r="C654" s="5"/>
      <c r="E654" s="19"/>
      <c r="F654" s="5"/>
      <c r="H654" s="19"/>
      <c r="O654" s="5"/>
      <c r="Q654" s="5"/>
      <c r="R654" s="9"/>
    </row>
    <row r="655">
      <c r="A655" s="44"/>
      <c r="C655" s="5"/>
      <c r="E655" s="19"/>
      <c r="F655" s="5"/>
      <c r="H655" s="19"/>
      <c r="O655" s="5"/>
      <c r="Q655" s="5"/>
      <c r="R655" s="9"/>
    </row>
    <row r="656">
      <c r="A656" s="44"/>
      <c r="C656" s="5"/>
      <c r="E656" s="19"/>
      <c r="F656" s="5"/>
      <c r="H656" s="19"/>
      <c r="O656" s="5"/>
      <c r="Q656" s="5"/>
      <c r="R656" s="9"/>
    </row>
    <row r="657">
      <c r="A657" s="44"/>
      <c r="C657" s="5"/>
      <c r="E657" s="19"/>
      <c r="F657" s="5"/>
      <c r="H657" s="19"/>
      <c r="O657" s="5"/>
      <c r="Q657" s="5"/>
      <c r="R657" s="9"/>
    </row>
    <row r="658">
      <c r="A658" s="44"/>
      <c r="C658" s="5"/>
      <c r="E658" s="19"/>
      <c r="F658" s="5"/>
      <c r="H658" s="19"/>
      <c r="O658" s="5"/>
      <c r="Q658" s="5"/>
      <c r="R658" s="9"/>
    </row>
    <row r="659">
      <c r="A659" s="44"/>
      <c r="C659" s="5"/>
      <c r="E659" s="19"/>
      <c r="F659" s="5"/>
      <c r="H659" s="19"/>
      <c r="O659" s="5"/>
      <c r="Q659" s="5"/>
      <c r="R659" s="9"/>
    </row>
    <row r="660">
      <c r="A660" s="44"/>
      <c r="C660" s="5"/>
      <c r="E660" s="19"/>
      <c r="F660" s="5"/>
      <c r="H660" s="19"/>
      <c r="O660" s="5"/>
      <c r="Q660" s="5"/>
      <c r="R660" s="9"/>
    </row>
    <row r="661">
      <c r="A661" s="44"/>
      <c r="C661" s="5"/>
      <c r="E661" s="19"/>
      <c r="F661" s="5"/>
      <c r="H661" s="19"/>
      <c r="O661" s="5"/>
      <c r="Q661" s="5"/>
      <c r="R661" s="9"/>
    </row>
    <row r="662">
      <c r="A662" s="44"/>
      <c r="C662" s="5"/>
      <c r="E662" s="19"/>
      <c r="F662" s="5"/>
      <c r="H662" s="19"/>
      <c r="O662" s="5"/>
      <c r="Q662" s="5"/>
      <c r="R662" s="9"/>
    </row>
    <row r="663">
      <c r="A663" s="44"/>
      <c r="C663" s="5"/>
      <c r="E663" s="19"/>
      <c r="F663" s="5"/>
      <c r="H663" s="19"/>
      <c r="O663" s="5"/>
      <c r="Q663" s="5"/>
      <c r="R663" s="9"/>
    </row>
    <row r="664">
      <c r="A664" s="44"/>
      <c r="C664" s="5"/>
      <c r="E664" s="19"/>
      <c r="F664" s="5"/>
      <c r="H664" s="19"/>
      <c r="O664" s="5"/>
      <c r="Q664" s="5"/>
      <c r="R664" s="9"/>
    </row>
    <row r="665">
      <c r="A665" s="44"/>
      <c r="C665" s="5"/>
      <c r="E665" s="19"/>
      <c r="F665" s="5"/>
      <c r="H665" s="19"/>
      <c r="O665" s="5"/>
      <c r="Q665" s="5"/>
      <c r="R665" s="9"/>
    </row>
    <row r="666">
      <c r="A666" s="44"/>
      <c r="C666" s="5"/>
      <c r="E666" s="19"/>
      <c r="F666" s="5"/>
      <c r="H666" s="19"/>
      <c r="O666" s="5"/>
      <c r="Q666" s="5"/>
      <c r="R666" s="9"/>
    </row>
    <row r="667">
      <c r="A667" s="44"/>
      <c r="C667" s="5"/>
      <c r="E667" s="19"/>
      <c r="F667" s="5"/>
      <c r="H667" s="19"/>
      <c r="O667" s="5"/>
      <c r="Q667" s="5"/>
      <c r="R667" s="9"/>
    </row>
    <row r="668">
      <c r="A668" s="44"/>
      <c r="C668" s="5"/>
      <c r="E668" s="19"/>
      <c r="F668" s="5"/>
      <c r="H668" s="19"/>
      <c r="O668" s="5"/>
      <c r="Q668" s="5"/>
      <c r="R668" s="9"/>
    </row>
    <row r="669">
      <c r="A669" s="44"/>
      <c r="C669" s="5"/>
      <c r="E669" s="19"/>
      <c r="F669" s="5"/>
      <c r="H669" s="19"/>
      <c r="O669" s="5"/>
      <c r="Q669" s="5"/>
      <c r="R669" s="9"/>
    </row>
    <row r="670">
      <c r="A670" s="44"/>
      <c r="C670" s="5"/>
      <c r="E670" s="19"/>
      <c r="F670" s="5"/>
      <c r="H670" s="19"/>
      <c r="O670" s="5"/>
      <c r="Q670" s="5"/>
      <c r="R670" s="9"/>
    </row>
    <row r="671">
      <c r="A671" s="44"/>
      <c r="C671" s="5"/>
      <c r="E671" s="19"/>
      <c r="F671" s="5"/>
      <c r="H671" s="19"/>
      <c r="O671" s="5"/>
      <c r="Q671" s="5"/>
      <c r="R671" s="9"/>
    </row>
    <row r="672">
      <c r="A672" s="44"/>
      <c r="C672" s="5"/>
      <c r="E672" s="19"/>
      <c r="F672" s="5"/>
      <c r="H672" s="19"/>
      <c r="O672" s="5"/>
      <c r="Q672" s="5"/>
      <c r="R672" s="9"/>
    </row>
    <row r="673">
      <c r="A673" s="44"/>
      <c r="C673" s="5"/>
      <c r="E673" s="19"/>
      <c r="F673" s="5"/>
      <c r="H673" s="19"/>
      <c r="O673" s="5"/>
      <c r="Q673" s="5"/>
      <c r="R673" s="9"/>
    </row>
    <row r="674">
      <c r="A674" s="44"/>
      <c r="C674" s="5"/>
      <c r="E674" s="19"/>
      <c r="F674" s="5"/>
      <c r="H674" s="19"/>
      <c r="O674" s="5"/>
      <c r="Q674" s="5"/>
      <c r="R674" s="9"/>
    </row>
    <row r="675">
      <c r="A675" s="44"/>
      <c r="C675" s="5"/>
      <c r="E675" s="19"/>
      <c r="F675" s="5"/>
      <c r="H675" s="19"/>
      <c r="O675" s="5"/>
      <c r="Q675" s="5"/>
      <c r="R675" s="9"/>
    </row>
    <row r="676">
      <c r="A676" s="44"/>
      <c r="C676" s="5"/>
      <c r="E676" s="19"/>
      <c r="F676" s="5"/>
      <c r="H676" s="19"/>
      <c r="O676" s="5"/>
      <c r="Q676" s="5"/>
      <c r="R676" s="9"/>
    </row>
    <row r="677">
      <c r="A677" s="44"/>
      <c r="C677" s="5"/>
      <c r="E677" s="19"/>
      <c r="F677" s="5"/>
      <c r="H677" s="19"/>
      <c r="O677" s="5"/>
      <c r="Q677" s="5"/>
      <c r="R677" s="9"/>
    </row>
    <row r="678">
      <c r="A678" s="44"/>
      <c r="C678" s="5"/>
      <c r="E678" s="19"/>
      <c r="F678" s="5"/>
      <c r="H678" s="19"/>
      <c r="O678" s="5"/>
      <c r="Q678" s="5"/>
      <c r="R678" s="9"/>
    </row>
    <row r="679">
      <c r="A679" s="44"/>
      <c r="C679" s="5"/>
      <c r="E679" s="19"/>
      <c r="F679" s="5"/>
      <c r="H679" s="19"/>
      <c r="O679" s="5"/>
      <c r="Q679" s="5"/>
      <c r="R679" s="9"/>
    </row>
    <row r="680">
      <c r="A680" s="44"/>
      <c r="C680" s="5"/>
      <c r="E680" s="19"/>
      <c r="F680" s="5"/>
      <c r="H680" s="19"/>
      <c r="O680" s="5"/>
      <c r="Q680" s="5"/>
      <c r="R680" s="9"/>
    </row>
    <row r="681">
      <c r="A681" s="44"/>
      <c r="C681" s="5"/>
      <c r="E681" s="19"/>
      <c r="F681" s="5"/>
      <c r="H681" s="19"/>
      <c r="O681" s="5"/>
      <c r="Q681" s="5"/>
      <c r="R681" s="9"/>
    </row>
    <row r="682">
      <c r="A682" s="44"/>
      <c r="C682" s="5"/>
      <c r="E682" s="19"/>
      <c r="F682" s="5"/>
      <c r="H682" s="19"/>
      <c r="O682" s="5"/>
      <c r="Q682" s="5"/>
      <c r="R682" s="9"/>
    </row>
    <row r="683">
      <c r="A683" s="44"/>
      <c r="C683" s="5"/>
      <c r="E683" s="19"/>
      <c r="F683" s="5"/>
      <c r="H683" s="19"/>
      <c r="O683" s="5"/>
      <c r="Q683" s="5"/>
      <c r="R683" s="9"/>
    </row>
    <row r="684">
      <c r="A684" s="44"/>
      <c r="C684" s="5"/>
      <c r="E684" s="19"/>
      <c r="F684" s="5"/>
      <c r="H684" s="19"/>
      <c r="O684" s="5"/>
      <c r="Q684" s="5"/>
      <c r="R684" s="9"/>
    </row>
    <row r="685">
      <c r="A685" s="44"/>
      <c r="C685" s="5"/>
      <c r="E685" s="19"/>
      <c r="F685" s="5"/>
      <c r="H685" s="19"/>
      <c r="O685" s="5"/>
      <c r="Q685" s="5"/>
      <c r="R685" s="9"/>
    </row>
    <row r="686">
      <c r="A686" s="44"/>
      <c r="C686" s="5"/>
      <c r="E686" s="19"/>
      <c r="F686" s="5"/>
      <c r="H686" s="19"/>
      <c r="O686" s="5"/>
      <c r="Q686" s="5"/>
      <c r="R686" s="9"/>
    </row>
    <row r="687">
      <c r="A687" s="44"/>
      <c r="C687" s="5"/>
      <c r="E687" s="19"/>
      <c r="F687" s="5"/>
      <c r="H687" s="19"/>
      <c r="O687" s="5"/>
      <c r="Q687" s="5"/>
      <c r="R687" s="9"/>
    </row>
    <row r="688">
      <c r="A688" s="44"/>
      <c r="C688" s="5"/>
      <c r="E688" s="19"/>
      <c r="F688" s="5"/>
      <c r="H688" s="19"/>
      <c r="O688" s="5"/>
      <c r="Q688" s="5"/>
      <c r="R688" s="9"/>
    </row>
    <row r="689">
      <c r="A689" s="44"/>
      <c r="C689" s="5"/>
      <c r="E689" s="19"/>
      <c r="F689" s="5"/>
      <c r="H689" s="19"/>
      <c r="O689" s="5"/>
      <c r="Q689" s="5"/>
      <c r="R689" s="9"/>
    </row>
    <row r="690">
      <c r="A690" s="44"/>
      <c r="C690" s="5"/>
      <c r="E690" s="19"/>
      <c r="F690" s="5"/>
      <c r="H690" s="19"/>
      <c r="O690" s="5"/>
      <c r="Q690" s="5"/>
      <c r="R690" s="9"/>
    </row>
    <row r="691">
      <c r="A691" s="44"/>
      <c r="C691" s="5"/>
      <c r="E691" s="19"/>
      <c r="F691" s="5"/>
      <c r="H691" s="19"/>
      <c r="O691" s="5"/>
      <c r="Q691" s="5"/>
      <c r="R691" s="9"/>
    </row>
    <row r="692">
      <c r="A692" s="44"/>
      <c r="C692" s="5"/>
      <c r="E692" s="19"/>
      <c r="F692" s="5"/>
      <c r="H692" s="19"/>
      <c r="O692" s="5"/>
      <c r="Q692" s="5"/>
      <c r="R692" s="9"/>
    </row>
    <row r="693">
      <c r="A693" s="44"/>
      <c r="C693" s="5"/>
      <c r="E693" s="19"/>
      <c r="F693" s="5"/>
      <c r="H693" s="19"/>
      <c r="O693" s="5"/>
      <c r="Q693" s="5"/>
      <c r="R693" s="9"/>
    </row>
    <row r="694">
      <c r="A694" s="44"/>
      <c r="C694" s="5"/>
      <c r="E694" s="19"/>
      <c r="F694" s="5"/>
      <c r="H694" s="19"/>
      <c r="O694" s="5"/>
      <c r="Q694" s="5"/>
      <c r="R694" s="9"/>
    </row>
    <row r="695">
      <c r="A695" s="44"/>
      <c r="C695" s="5"/>
      <c r="E695" s="19"/>
      <c r="F695" s="5"/>
      <c r="H695" s="19"/>
      <c r="O695" s="5"/>
      <c r="Q695" s="5"/>
      <c r="R695" s="9"/>
    </row>
    <row r="696">
      <c r="A696" s="44"/>
      <c r="C696" s="5"/>
      <c r="E696" s="19"/>
      <c r="F696" s="5"/>
      <c r="H696" s="19"/>
      <c r="O696" s="5"/>
      <c r="Q696" s="5"/>
      <c r="R696" s="9"/>
    </row>
    <row r="697">
      <c r="A697" s="44"/>
      <c r="C697" s="5"/>
      <c r="E697" s="19"/>
      <c r="F697" s="5"/>
      <c r="H697" s="19"/>
      <c r="O697" s="5"/>
      <c r="Q697" s="5"/>
      <c r="R697" s="9"/>
    </row>
    <row r="698">
      <c r="A698" s="44"/>
      <c r="C698" s="5"/>
      <c r="E698" s="19"/>
      <c r="F698" s="5"/>
      <c r="H698" s="19"/>
      <c r="O698" s="5"/>
      <c r="Q698" s="5"/>
      <c r="R698" s="9"/>
    </row>
    <row r="699">
      <c r="A699" s="44"/>
      <c r="C699" s="5"/>
      <c r="E699" s="19"/>
      <c r="F699" s="5"/>
      <c r="H699" s="19"/>
      <c r="O699" s="5"/>
      <c r="Q699" s="5"/>
      <c r="R699" s="9"/>
    </row>
    <row r="700">
      <c r="A700" s="44"/>
      <c r="C700" s="5"/>
      <c r="E700" s="19"/>
      <c r="F700" s="5"/>
      <c r="H700" s="19"/>
      <c r="O700" s="5"/>
      <c r="Q700" s="5"/>
      <c r="R700" s="9"/>
    </row>
    <row r="701">
      <c r="A701" s="44"/>
      <c r="C701" s="5"/>
      <c r="E701" s="19"/>
      <c r="F701" s="5"/>
      <c r="H701" s="19"/>
      <c r="O701" s="5"/>
      <c r="Q701" s="5"/>
      <c r="R701" s="9"/>
    </row>
    <row r="702">
      <c r="A702" s="44"/>
      <c r="C702" s="5"/>
      <c r="E702" s="19"/>
      <c r="F702" s="5"/>
      <c r="H702" s="19"/>
      <c r="O702" s="5"/>
      <c r="Q702" s="5"/>
      <c r="R702" s="9"/>
    </row>
    <row r="703">
      <c r="A703" s="44"/>
      <c r="C703" s="5"/>
      <c r="E703" s="19"/>
      <c r="F703" s="5"/>
      <c r="H703" s="19"/>
      <c r="O703" s="5"/>
      <c r="Q703" s="5"/>
      <c r="R703" s="9"/>
    </row>
    <row r="704">
      <c r="A704" s="44"/>
      <c r="C704" s="5"/>
      <c r="E704" s="19"/>
      <c r="F704" s="5"/>
      <c r="H704" s="19"/>
      <c r="O704" s="5"/>
      <c r="Q704" s="5"/>
      <c r="R704" s="9"/>
    </row>
    <row r="705">
      <c r="A705" s="44"/>
      <c r="C705" s="5"/>
      <c r="E705" s="19"/>
      <c r="F705" s="5"/>
      <c r="H705" s="19"/>
      <c r="O705" s="5"/>
      <c r="Q705" s="5"/>
      <c r="R705" s="9"/>
    </row>
    <row r="706">
      <c r="A706" s="44"/>
      <c r="C706" s="5"/>
      <c r="E706" s="19"/>
      <c r="F706" s="5"/>
      <c r="H706" s="19"/>
      <c r="O706" s="5"/>
      <c r="Q706" s="5"/>
      <c r="R706" s="9"/>
    </row>
    <row r="707">
      <c r="A707" s="44"/>
      <c r="C707" s="5"/>
      <c r="E707" s="19"/>
      <c r="F707" s="5"/>
      <c r="H707" s="19"/>
      <c r="O707" s="5"/>
      <c r="Q707" s="5"/>
      <c r="R707" s="9"/>
    </row>
    <row r="708">
      <c r="A708" s="44"/>
      <c r="C708" s="5"/>
      <c r="E708" s="19"/>
      <c r="F708" s="5"/>
      <c r="H708" s="19"/>
      <c r="O708" s="5"/>
      <c r="Q708" s="5"/>
      <c r="R708" s="9"/>
    </row>
    <row r="709">
      <c r="A709" s="44"/>
      <c r="C709" s="5"/>
      <c r="E709" s="19"/>
      <c r="F709" s="5"/>
      <c r="H709" s="19"/>
      <c r="O709" s="5"/>
      <c r="Q709" s="5"/>
      <c r="R709" s="9"/>
    </row>
    <row r="710">
      <c r="A710" s="44"/>
      <c r="C710" s="5"/>
      <c r="E710" s="19"/>
      <c r="F710" s="5"/>
      <c r="H710" s="19"/>
      <c r="O710" s="5"/>
      <c r="Q710" s="5"/>
      <c r="R710" s="9"/>
    </row>
    <row r="711">
      <c r="A711" s="44"/>
      <c r="C711" s="5"/>
      <c r="E711" s="19"/>
      <c r="F711" s="5"/>
      <c r="H711" s="19"/>
      <c r="O711" s="5"/>
      <c r="Q711" s="5"/>
      <c r="R711" s="9"/>
    </row>
    <row r="712">
      <c r="A712" s="44"/>
      <c r="C712" s="5"/>
      <c r="E712" s="19"/>
      <c r="F712" s="5"/>
      <c r="H712" s="19"/>
      <c r="O712" s="5"/>
      <c r="Q712" s="5"/>
      <c r="R712" s="9"/>
    </row>
    <row r="713">
      <c r="A713" s="44"/>
      <c r="C713" s="5"/>
      <c r="E713" s="19"/>
      <c r="F713" s="5"/>
      <c r="H713" s="19"/>
      <c r="O713" s="5"/>
      <c r="Q713" s="5"/>
      <c r="R713" s="9"/>
    </row>
    <row r="714">
      <c r="A714" s="44"/>
      <c r="C714" s="5"/>
      <c r="E714" s="19"/>
      <c r="F714" s="5"/>
      <c r="H714" s="19"/>
      <c r="O714" s="5"/>
      <c r="Q714" s="5"/>
      <c r="R714" s="9"/>
    </row>
    <row r="715">
      <c r="A715" s="44"/>
      <c r="C715" s="5"/>
      <c r="E715" s="19"/>
      <c r="F715" s="5"/>
      <c r="H715" s="19"/>
      <c r="O715" s="5"/>
      <c r="Q715" s="5"/>
      <c r="R715" s="9"/>
    </row>
    <row r="716">
      <c r="A716" s="44"/>
      <c r="C716" s="5"/>
      <c r="E716" s="19"/>
      <c r="F716" s="5"/>
      <c r="H716" s="19"/>
      <c r="O716" s="5"/>
      <c r="Q716" s="5"/>
      <c r="R716" s="9"/>
    </row>
    <row r="717">
      <c r="A717" s="44"/>
      <c r="C717" s="5"/>
      <c r="E717" s="19"/>
      <c r="F717" s="5"/>
      <c r="H717" s="19"/>
      <c r="O717" s="5"/>
      <c r="Q717" s="5"/>
      <c r="R717" s="9"/>
    </row>
    <row r="718">
      <c r="A718" s="44"/>
      <c r="C718" s="5"/>
      <c r="E718" s="19"/>
      <c r="F718" s="5"/>
      <c r="H718" s="19"/>
      <c r="O718" s="5"/>
      <c r="Q718" s="5"/>
      <c r="R718" s="9"/>
    </row>
    <row r="719">
      <c r="A719" s="44"/>
      <c r="C719" s="5"/>
      <c r="E719" s="19"/>
      <c r="F719" s="5"/>
      <c r="H719" s="19"/>
      <c r="O719" s="5"/>
      <c r="Q719" s="5"/>
      <c r="R719" s="9"/>
    </row>
    <row r="720">
      <c r="A720" s="44"/>
      <c r="C720" s="5"/>
      <c r="E720" s="19"/>
      <c r="F720" s="5"/>
      <c r="H720" s="19"/>
      <c r="O720" s="5"/>
      <c r="Q720" s="5"/>
      <c r="R720" s="9"/>
    </row>
    <row r="721">
      <c r="A721" s="44"/>
      <c r="C721" s="5"/>
      <c r="E721" s="19"/>
      <c r="F721" s="5"/>
      <c r="H721" s="19"/>
      <c r="O721" s="5"/>
      <c r="Q721" s="5"/>
      <c r="R721" s="9"/>
    </row>
    <row r="722">
      <c r="A722" s="44"/>
      <c r="C722" s="5"/>
      <c r="E722" s="19"/>
      <c r="F722" s="5"/>
      <c r="H722" s="19"/>
      <c r="O722" s="5"/>
      <c r="Q722" s="5"/>
      <c r="R722" s="9"/>
    </row>
    <row r="723">
      <c r="A723" s="44"/>
      <c r="C723" s="5"/>
      <c r="E723" s="19"/>
      <c r="F723" s="5"/>
      <c r="H723" s="19"/>
      <c r="O723" s="5"/>
      <c r="Q723" s="5"/>
      <c r="R723" s="9"/>
    </row>
    <row r="724">
      <c r="A724" s="44"/>
      <c r="C724" s="5"/>
      <c r="E724" s="19"/>
      <c r="F724" s="5"/>
      <c r="H724" s="19"/>
      <c r="O724" s="5"/>
      <c r="Q724" s="5"/>
      <c r="R724" s="9"/>
    </row>
    <row r="725">
      <c r="A725" s="44"/>
      <c r="C725" s="5"/>
      <c r="E725" s="19"/>
      <c r="F725" s="5"/>
      <c r="H725" s="19"/>
      <c r="O725" s="5"/>
      <c r="Q725" s="5"/>
      <c r="R725" s="9"/>
    </row>
    <row r="726">
      <c r="A726" s="44"/>
      <c r="C726" s="5"/>
      <c r="E726" s="19"/>
      <c r="F726" s="5"/>
      <c r="H726" s="19"/>
      <c r="O726" s="5"/>
      <c r="Q726" s="5"/>
      <c r="R726" s="9"/>
    </row>
    <row r="727">
      <c r="A727" s="44"/>
      <c r="C727" s="5"/>
      <c r="E727" s="19"/>
      <c r="F727" s="5"/>
      <c r="H727" s="19"/>
      <c r="O727" s="5"/>
      <c r="Q727" s="5"/>
      <c r="R727" s="9"/>
    </row>
    <row r="728">
      <c r="A728" s="44"/>
      <c r="C728" s="5"/>
      <c r="E728" s="19"/>
      <c r="F728" s="5"/>
      <c r="H728" s="19"/>
      <c r="O728" s="5"/>
      <c r="Q728" s="5"/>
      <c r="R728" s="9"/>
    </row>
    <row r="729">
      <c r="A729" s="44"/>
      <c r="C729" s="5"/>
      <c r="E729" s="19"/>
      <c r="F729" s="5"/>
      <c r="H729" s="19"/>
      <c r="O729" s="5"/>
      <c r="Q729" s="5"/>
      <c r="R729" s="9"/>
    </row>
    <row r="730">
      <c r="A730" s="44"/>
      <c r="C730" s="5"/>
      <c r="E730" s="19"/>
      <c r="F730" s="5"/>
      <c r="H730" s="19"/>
      <c r="O730" s="5"/>
      <c r="Q730" s="5"/>
      <c r="R730" s="9"/>
    </row>
    <row r="731">
      <c r="A731" s="44"/>
      <c r="C731" s="5"/>
      <c r="E731" s="19"/>
      <c r="F731" s="5"/>
      <c r="H731" s="19"/>
      <c r="O731" s="5"/>
      <c r="Q731" s="5"/>
      <c r="R731" s="9"/>
    </row>
    <row r="732">
      <c r="A732" s="44"/>
      <c r="C732" s="5"/>
      <c r="E732" s="19"/>
      <c r="F732" s="5"/>
      <c r="H732" s="19"/>
      <c r="O732" s="5"/>
      <c r="Q732" s="5"/>
      <c r="R732" s="9"/>
    </row>
    <row r="733">
      <c r="A733" s="44"/>
      <c r="C733" s="5"/>
      <c r="E733" s="19"/>
      <c r="F733" s="5"/>
      <c r="H733" s="19"/>
      <c r="O733" s="5"/>
      <c r="Q733" s="5"/>
      <c r="R733" s="9"/>
    </row>
    <row r="734">
      <c r="A734" s="44"/>
      <c r="C734" s="5"/>
      <c r="E734" s="19"/>
      <c r="F734" s="5"/>
      <c r="H734" s="19"/>
      <c r="O734" s="5"/>
      <c r="Q734" s="5"/>
      <c r="R734" s="9"/>
    </row>
    <row r="735">
      <c r="A735" s="44"/>
      <c r="C735" s="5"/>
      <c r="E735" s="19"/>
      <c r="F735" s="5"/>
      <c r="H735" s="19"/>
      <c r="O735" s="5"/>
      <c r="Q735" s="5"/>
      <c r="R735" s="9"/>
    </row>
    <row r="736">
      <c r="A736" s="44"/>
      <c r="C736" s="5"/>
      <c r="E736" s="19"/>
      <c r="F736" s="5"/>
      <c r="H736" s="19"/>
      <c r="O736" s="5"/>
      <c r="Q736" s="5"/>
      <c r="R736" s="9"/>
    </row>
    <row r="737">
      <c r="A737" s="44"/>
      <c r="C737" s="5"/>
      <c r="E737" s="19"/>
      <c r="F737" s="5"/>
      <c r="H737" s="19"/>
      <c r="O737" s="5"/>
      <c r="Q737" s="5"/>
      <c r="R737" s="9"/>
    </row>
    <row r="738">
      <c r="A738" s="44"/>
      <c r="C738" s="5"/>
      <c r="E738" s="19"/>
      <c r="F738" s="5"/>
      <c r="H738" s="19"/>
      <c r="O738" s="5"/>
      <c r="Q738" s="5"/>
      <c r="R738" s="9"/>
    </row>
    <row r="739">
      <c r="A739" s="44"/>
      <c r="C739" s="5"/>
      <c r="E739" s="19"/>
      <c r="F739" s="5"/>
      <c r="H739" s="19"/>
      <c r="O739" s="5"/>
      <c r="Q739" s="5"/>
      <c r="R739" s="9"/>
    </row>
    <row r="740">
      <c r="A740" s="44"/>
      <c r="C740" s="5"/>
      <c r="E740" s="19"/>
      <c r="F740" s="5"/>
      <c r="H740" s="19"/>
      <c r="O740" s="5"/>
      <c r="Q740" s="5"/>
      <c r="R740" s="9"/>
    </row>
    <row r="741">
      <c r="A741" s="44"/>
      <c r="C741" s="5"/>
      <c r="E741" s="19"/>
      <c r="F741" s="5"/>
      <c r="H741" s="19"/>
      <c r="O741" s="5"/>
      <c r="Q741" s="5"/>
      <c r="R741" s="9"/>
    </row>
    <row r="742">
      <c r="A742" s="44"/>
      <c r="C742" s="5"/>
      <c r="E742" s="19"/>
      <c r="F742" s="5"/>
      <c r="H742" s="19"/>
      <c r="O742" s="5"/>
      <c r="Q742" s="5"/>
      <c r="R742" s="9"/>
    </row>
    <row r="743">
      <c r="A743" s="44"/>
      <c r="C743" s="5"/>
      <c r="E743" s="19"/>
      <c r="F743" s="5"/>
      <c r="H743" s="19"/>
      <c r="O743" s="5"/>
      <c r="Q743" s="5"/>
      <c r="R743" s="9"/>
    </row>
    <row r="744">
      <c r="A744" s="44"/>
      <c r="C744" s="5"/>
      <c r="E744" s="19"/>
      <c r="F744" s="5"/>
      <c r="H744" s="19"/>
      <c r="O744" s="5"/>
      <c r="Q744" s="5"/>
      <c r="R744" s="9"/>
    </row>
    <row r="745">
      <c r="A745" s="44"/>
      <c r="C745" s="5"/>
      <c r="E745" s="19"/>
      <c r="F745" s="5"/>
      <c r="H745" s="19"/>
      <c r="O745" s="5"/>
      <c r="Q745" s="5"/>
      <c r="R745" s="9"/>
    </row>
    <row r="746">
      <c r="A746" s="44"/>
      <c r="C746" s="5"/>
      <c r="E746" s="19"/>
      <c r="F746" s="5"/>
      <c r="H746" s="19"/>
      <c r="O746" s="5"/>
      <c r="Q746" s="5"/>
      <c r="R746" s="9"/>
    </row>
    <row r="747">
      <c r="A747" s="44"/>
      <c r="C747" s="5"/>
      <c r="E747" s="19"/>
      <c r="F747" s="5"/>
      <c r="H747" s="19"/>
      <c r="O747" s="5"/>
      <c r="Q747" s="5"/>
      <c r="R747" s="9"/>
    </row>
    <row r="748">
      <c r="A748" s="44"/>
      <c r="C748" s="5"/>
      <c r="E748" s="19"/>
      <c r="F748" s="5"/>
      <c r="H748" s="19"/>
      <c r="O748" s="5"/>
      <c r="Q748" s="5"/>
      <c r="R748" s="9"/>
    </row>
    <row r="749">
      <c r="A749" s="44"/>
      <c r="C749" s="5"/>
      <c r="E749" s="19"/>
      <c r="F749" s="5"/>
      <c r="H749" s="19"/>
      <c r="O749" s="5"/>
      <c r="Q749" s="5"/>
      <c r="R749" s="9"/>
    </row>
    <row r="750">
      <c r="A750" s="44"/>
      <c r="C750" s="5"/>
      <c r="E750" s="19"/>
      <c r="F750" s="5"/>
      <c r="H750" s="19"/>
      <c r="O750" s="5"/>
      <c r="Q750" s="5"/>
      <c r="R750" s="9"/>
    </row>
    <row r="751">
      <c r="A751" s="44"/>
      <c r="C751" s="5"/>
      <c r="E751" s="19"/>
      <c r="F751" s="5"/>
      <c r="H751" s="19"/>
      <c r="O751" s="5"/>
      <c r="Q751" s="5"/>
      <c r="R751" s="9"/>
    </row>
    <row r="752">
      <c r="A752" s="44"/>
      <c r="C752" s="5"/>
      <c r="E752" s="19"/>
      <c r="F752" s="5"/>
      <c r="H752" s="19"/>
      <c r="O752" s="5"/>
      <c r="Q752" s="5"/>
      <c r="R752" s="9"/>
    </row>
    <row r="753">
      <c r="A753" s="44"/>
      <c r="C753" s="5"/>
      <c r="E753" s="19"/>
      <c r="F753" s="5"/>
      <c r="H753" s="19"/>
      <c r="O753" s="5"/>
      <c r="Q753" s="5"/>
      <c r="R753" s="9"/>
    </row>
    <row r="754">
      <c r="A754" s="44"/>
      <c r="C754" s="5"/>
      <c r="E754" s="19"/>
      <c r="F754" s="5"/>
      <c r="H754" s="19"/>
      <c r="O754" s="5"/>
      <c r="Q754" s="5"/>
      <c r="R754" s="9"/>
    </row>
    <row r="755">
      <c r="A755" s="44"/>
      <c r="C755" s="5"/>
      <c r="E755" s="19"/>
      <c r="F755" s="5"/>
      <c r="H755" s="19"/>
      <c r="O755" s="5"/>
      <c r="Q755" s="5"/>
      <c r="R755" s="9"/>
    </row>
    <row r="756">
      <c r="A756" s="44"/>
      <c r="C756" s="5"/>
      <c r="E756" s="19"/>
      <c r="F756" s="5"/>
      <c r="H756" s="19"/>
      <c r="O756" s="5"/>
      <c r="Q756" s="5"/>
      <c r="R756" s="9"/>
    </row>
    <row r="757">
      <c r="A757" s="44"/>
      <c r="C757" s="5"/>
      <c r="E757" s="19"/>
      <c r="F757" s="5"/>
      <c r="H757" s="19"/>
      <c r="O757" s="5"/>
      <c r="Q757" s="5"/>
      <c r="R757" s="9"/>
    </row>
    <row r="758">
      <c r="A758" s="44"/>
      <c r="C758" s="5"/>
      <c r="E758" s="19"/>
      <c r="F758" s="5"/>
      <c r="H758" s="19"/>
      <c r="O758" s="5"/>
      <c r="Q758" s="5"/>
      <c r="R758" s="9"/>
    </row>
    <row r="759">
      <c r="A759" s="44"/>
      <c r="C759" s="5"/>
      <c r="E759" s="19"/>
      <c r="F759" s="5"/>
      <c r="H759" s="19"/>
      <c r="O759" s="5"/>
      <c r="Q759" s="5"/>
      <c r="R759" s="9"/>
    </row>
    <row r="760">
      <c r="A760" s="44"/>
      <c r="C760" s="5"/>
      <c r="E760" s="19"/>
      <c r="F760" s="5"/>
      <c r="H760" s="19"/>
      <c r="O760" s="5"/>
      <c r="Q760" s="5"/>
      <c r="R760" s="9"/>
    </row>
    <row r="761">
      <c r="A761" s="44"/>
      <c r="C761" s="5"/>
      <c r="E761" s="19"/>
      <c r="F761" s="5"/>
      <c r="H761" s="19"/>
      <c r="O761" s="5"/>
      <c r="Q761" s="5"/>
      <c r="R761" s="9"/>
    </row>
    <row r="762">
      <c r="A762" s="44"/>
      <c r="C762" s="5"/>
      <c r="E762" s="19"/>
      <c r="F762" s="5"/>
      <c r="H762" s="19"/>
      <c r="O762" s="5"/>
      <c r="Q762" s="5"/>
      <c r="R762" s="9"/>
    </row>
    <row r="763">
      <c r="A763" s="44"/>
      <c r="C763" s="5"/>
      <c r="E763" s="19"/>
      <c r="F763" s="5"/>
      <c r="H763" s="19"/>
      <c r="O763" s="5"/>
      <c r="Q763" s="5"/>
      <c r="R763" s="9"/>
    </row>
    <row r="764">
      <c r="A764" s="44"/>
      <c r="C764" s="5"/>
      <c r="E764" s="19"/>
      <c r="F764" s="5"/>
      <c r="H764" s="19"/>
      <c r="O764" s="5"/>
      <c r="Q764" s="5"/>
      <c r="R764" s="9"/>
    </row>
    <row r="765">
      <c r="A765" s="44"/>
      <c r="C765" s="5"/>
      <c r="E765" s="19"/>
      <c r="F765" s="5"/>
      <c r="H765" s="19"/>
      <c r="O765" s="5"/>
      <c r="Q765" s="5"/>
      <c r="R765" s="9"/>
    </row>
    <row r="766">
      <c r="A766" s="44"/>
      <c r="C766" s="5"/>
      <c r="E766" s="19"/>
      <c r="F766" s="5"/>
      <c r="H766" s="19"/>
      <c r="O766" s="5"/>
      <c r="Q766" s="5"/>
      <c r="R766" s="9"/>
    </row>
    <row r="767">
      <c r="A767" s="44"/>
      <c r="C767" s="5"/>
      <c r="E767" s="19"/>
      <c r="F767" s="5"/>
      <c r="H767" s="19"/>
      <c r="O767" s="5"/>
      <c r="Q767" s="5"/>
      <c r="R767" s="9"/>
    </row>
    <row r="768">
      <c r="A768" s="44"/>
      <c r="C768" s="5"/>
      <c r="E768" s="19"/>
      <c r="F768" s="5"/>
      <c r="H768" s="19"/>
      <c r="O768" s="5"/>
      <c r="Q768" s="5"/>
      <c r="R768" s="9"/>
    </row>
    <row r="769">
      <c r="A769" s="44"/>
      <c r="C769" s="5"/>
      <c r="E769" s="19"/>
      <c r="F769" s="5"/>
      <c r="H769" s="19"/>
      <c r="O769" s="5"/>
      <c r="Q769" s="5"/>
      <c r="R769" s="9"/>
    </row>
    <row r="770">
      <c r="A770" s="44"/>
      <c r="C770" s="5"/>
      <c r="E770" s="19"/>
      <c r="F770" s="5"/>
      <c r="H770" s="19"/>
      <c r="O770" s="5"/>
      <c r="Q770" s="5"/>
      <c r="R770" s="9"/>
    </row>
    <row r="771">
      <c r="A771" s="44"/>
      <c r="C771" s="5"/>
      <c r="E771" s="19"/>
      <c r="F771" s="5"/>
      <c r="H771" s="19"/>
      <c r="O771" s="5"/>
      <c r="Q771" s="5"/>
      <c r="R771" s="9"/>
    </row>
    <row r="772">
      <c r="A772" s="44"/>
      <c r="C772" s="5"/>
      <c r="E772" s="19"/>
      <c r="F772" s="5"/>
      <c r="H772" s="19"/>
      <c r="O772" s="5"/>
      <c r="Q772" s="5"/>
      <c r="R772" s="9"/>
    </row>
    <row r="773">
      <c r="A773" s="44"/>
      <c r="C773" s="5"/>
      <c r="E773" s="19"/>
      <c r="F773" s="5"/>
      <c r="H773" s="19"/>
      <c r="O773" s="5"/>
      <c r="Q773" s="5"/>
      <c r="R773" s="9"/>
    </row>
    <row r="774">
      <c r="A774" s="44"/>
      <c r="C774" s="5"/>
      <c r="E774" s="19"/>
      <c r="F774" s="5"/>
      <c r="H774" s="19"/>
      <c r="O774" s="5"/>
      <c r="Q774" s="5"/>
      <c r="R774" s="9"/>
    </row>
    <row r="775">
      <c r="A775" s="44"/>
      <c r="C775" s="5"/>
      <c r="E775" s="19"/>
      <c r="F775" s="5"/>
      <c r="H775" s="19"/>
      <c r="O775" s="5"/>
      <c r="Q775" s="5"/>
      <c r="R775" s="9"/>
    </row>
    <row r="776">
      <c r="A776" s="44"/>
      <c r="C776" s="5"/>
      <c r="E776" s="19"/>
      <c r="F776" s="5"/>
      <c r="H776" s="19"/>
      <c r="O776" s="5"/>
      <c r="Q776" s="5"/>
      <c r="R776" s="9"/>
    </row>
    <row r="777">
      <c r="A777" s="44"/>
      <c r="C777" s="5"/>
      <c r="E777" s="19"/>
      <c r="F777" s="5"/>
      <c r="H777" s="19"/>
      <c r="O777" s="5"/>
      <c r="Q777" s="5"/>
      <c r="R777" s="9"/>
    </row>
    <row r="778">
      <c r="A778" s="44"/>
      <c r="C778" s="5"/>
      <c r="E778" s="19"/>
      <c r="F778" s="5"/>
      <c r="H778" s="19"/>
      <c r="O778" s="5"/>
      <c r="Q778" s="5"/>
      <c r="R778" s="9"/>
    </row>
    <row r="779">
      <c r="A779" s="44"/>
      <c r="C779" s="5"/>
      <c r="E779" s="19"/>
      <c r="F779" s="5"/>
      <c r="H779" s="19"/>
      <c r="O779" s="5"/>
      <c r="Q779" s="5"/>
      <c r="R779" s="9"/>
    </row>
    <row r="780">
      <c r="A780" s="44"/>
      <c r="C780" s="5"/>
      <c r="E780" s="19"/>
      <c r="F780" s="5"/>
      <c r="H780" s="19"/>
      <c r="O780" s="5"/>
      <c r="Q780" s="5"/>
      <c r="R780" s="9"/>
    </row>
    <row r="781">
      <c r="A781" s="44"/>
      <c r="C781" s="5"/>
      <c r="E781" s="19"/>
      <c r="F781" s="5"/>
      <c r="H781" s="19"/>
      <c r="O781" s="5"/>
      <c r="Q781" s="5"/>
      <c r="R781" s="9"/>
    </row>
    <row r="782">
      <c r="A782" s="44"/>
      <c r="C782" s="5"/>
      <c r="E782" s="19"/>
      <c r="F782" s="5"/>
      <c r="H782" s="19"/>
      <c r="O782" s="5"/>
      <c r="Q782" s="5"/>
      <c r="R782" s="9"/>
    </row>
    <row r="783">
      <c r="A783" s="44"/>
      <c r="C783" s="5"/>
      <c r="E783" s="19"/>
      <c r="F783" s="5"/>
      <c r="H783" s="19"/>
      <c r="O783" s="5"/>
      <c r="Q783" s="5"/>
      <c r="R783" s="9"/>
    </row>
    <row r="784">
      <c r="A784" s="44"/>
      <c r="C784" s="5"/>
      <c r="E784" s="19"/>
      <c r="F784" s="5"/>
      <c r="H784" s="19"/>
      <c r="O784" s="5"/>
      <c r="Q784" s="5"/>
      <c r="R784" s="9"/>
    </row>
    <row r="785">
      <c r="A785" s="44"/>
      <c r="C785" s="5"/>
      <c r="E785" s="19"/>
      <c r="F785" s="5"/>
      <c r="H785" s="19"/>
      <c r="O785" s="5"/>
      <c r="Q785" s="5"/>
      <c r="R785" s="9"/>
    </row>
    <row r="786">
      <c r="A786" s="44"/>
      <c r="C786" s="5"/>
      <c r="E786" s="19"/>
      <c r="F786" s="5"/>
      <c r="H786" s="19"/>
      <c r="O786" s="5"/>
      <c r="Q786" s="5"/>
      <c r="R786" s="9"/>
    </row>
    <row r="787">
      <c r="A787" s="44"/>
      <c r="C787" s="5"/>
      <c r="E787" s="19"/>
      <c r="F787" s="5"/>
      <c r="H787" s="19"/>
      <c r="O787" s="5"/>
      <c r="Q787" s="5"/>
      <c r="R787" s="9"/>
    </row>
    <row r="788">
      <c r="A788" s="44"/>
      <c r="C788" s="5"/>
      <c r="E788" s="19"/>
      <c r="F788" s="5"/>
      <c r="H788" s="19"/>
      <c r="O788" s="5"/>
      <c r="Q788" s="5"/>
      <c r="R788" s="9"/>
    </row>
    <row r="789">
      <c r="A789" s="44"/>
      <c r="C789" s="5"/>
      <c r="E789" s="19"/>
      <c r="F789" s="5"/>
      <c r="H789" s="19"/>
      <c r="O789" s="5"/>
      <c r="Q789" s="5"/>
      <c r="R789" s="9"/>
    </row>
    <row r="790">
      <c r="A790" s="44"/>
      <c r="C790" s="5"/>
      <c r="E790" s="19"/>
      <c r="F790" s="5"/>
      <c r="H790" s="19"/>
      <c r="O790" s="5"/>
      <c r="Q790" s="5"/>
      <c r="R790" s="9"/>
    </row>
    <row r="791">
      <c r="A791" s="44"/>
      <c r="C791" s="5"/>
      <c r="E791" s="19"/>
      <c r="F791" s="5"/>
      <c r="H791" s="19"/>
      <c r="O791" s="5"/>
      <c r="Q791" s="5"/>
      <c r="R791" s="9"/>
    </row>
    <row r="792">
      <c r="A792" s="44"/>
      <c r="C792" s="5"/>
      <c r="E792" s="19"/>
      <c r="F792" s="5"/>
      <c r="H792" s="19"/>
      <c r="O792" s="5"/>
      <c r="Q792" s="5"/>
      <c r="R792" s="9"/>
    </row>
    <row r="793">
      <c r="A793" s="44"/>
      <c r="C793" s="5"/>
      <c r="E793" s="19"/>
      <c r="F793" s="5"/>
      <c r="H793" s="19"/>
      <c r="O793" s="5"/>
      <c r="Q793" s="5"/>
      <c r="R793" s="9"/>
    </row>
    <row r="794">
      <c r="A794" s="44"/>
      <c r="C794" s="5"/>
      <c r="E794" s="19"/>
      <c r="F794" s="5"/>
      <c r="H794" s="19"/>
      <c r="O794" s="5"/>
      <c r="Q794" s="5"/>
      <c r="R794" s="9"/>
    </row>
    <row r="795">
      <c r="A795" s="44"/>
      <c r="C795" s="5"/>
      <c r="E795" s="19"/>
      <c r="F795" s="5"/>
      <c r="H795" s="19"/>
      <c r="O795" s="5"/>
      <c r="Q795" s="5"/>
      <c r="R795" s="9"/>
    </row>
    <row r="796">
      <c r="A796" s="44"/>
      <c r="C796" s="5"/>
      <c r="E796" s="19"/>
      <c r="F796" s="5"/>
      <c r="H796" s="19"/>
      <c r="O796" s="5"/>
      <c r="Q796" s="5"/>
      <c r="R796" s="9"/>
    </row>
    <row r="797">
      <c r="A797" s="44"/>
      <c r="C797" s="5"/>
      <c r="E797" s="19"/>
      <c r="F797" s="5"/>
      <c r="H797" s="19"/>
      <c r="O797" s="5"/>
      <c r="Q797" s="5"/>
      <c r="R797" s="9"/>
    </row>
    <row r="798">
      <c r="A798" s="44"/>
      <c r="C798" s="5"/>
      <c r="E798" s="19"/>
      <c r="F798" s="5"/>
      <c r="H798" s="19"/>
      <c r="O798" s="5"/>
      <c r="Q798" s="5"/>
      <c r="R798" s="9"/>
    </row>
    <row r="799">
      <c r="A799" s="44"/>
      <c r="C799" s="5"/>
      <c r="E799" s="19"/>
      <c r="F799" s="5"/>
      <c r="H799" s="19"/>
      <c r="O799" s="5"/>
      <c r="Q799" s="5"/>
      <c r="R799" s="9"/>
    </row>
    <row r="800">
      <c r="A800" s="44"/>
      <c r="C800" s="5"/>
      <c r="E800" s="19"/>
      <c r="F800" s="5"/>
      <c r="H800" s="19"/>
      <c r="O800" s="5"/>
      <c r="Q800" s="5"/>
      <c r="R800" s="9"/>
    </row>
    <row r="801">
      <c r="A801" s="44"/>
      <c r="C801" s="5"/>
      <c r="E801" s="19"/>
      <c r="F801" s="5"/>
      <c r="H801" s="19"/>
      <c r="O801" s="5"/>
      <c r="Q801" s="5"/>
      <c r="R801" s="9"/>
    </row>
    <row r="802">
      <c r="A802" s="44"/>
      <c r="C802" s="5"/>
      <c r="E802" s="19"/>
      <c r="F802" s="5"/>
      <c r="H802" s="19"/>
      <c r="O802" s="5"/>
      <c r="Q802" s="5"/>
      <c r="R802" s="9"/>
    </row>
    <row r="803">
      <c r="A803" s="44"/>
      <c r="C803" s="5"/>
      <c r="E803" s="19"/>
      <c r="F803" s="5"/>
      <c r="H803" s="19"/>
      <c r="O803" s="5"/>
      <c r="Q803" s="5"/>
      <c r="R803" s="9"/>
    </row>
    <row r="804">
      <c r="A804" s="44"/>
      <c r="C804" s="5"/>
      <c r="E804" s="19"/>
      <c r="F804" s="5"/>
      <c r="H804" s="19"/>
      <c r="O804" s="5"/>
      <c r="Q804" s="5"/>
      <c r="R804" s="9"/>
    </row>
    <row r="805">
      <c r="A805" s="44"/>
      <c r="C805" s="5"/>
      <c r="E805" s="19"/>
      <c r="F805" s="5"/>
      <c r="H805" s="19"/>
      <c r="O805" s="5"/>
      <c r="Q805" s="5"/>
      <c r="R805" s="9"/>
    </row>
    <row r="806">
      <c r="A806" s="44"/>
      <c r="C806" s="5"/>
      <c r="E806" s="19"/>
      <c r="F806" s="5"/>
      <c r="H806" s="19"/>
      <c r="O806" s="5"/>
      <c r="Q806" s="5"/>
      <c r="R806" s="9"/>
    </row>
    <row r="807">
      <c r="A807" s="44"/>
      <c r="C807" s="5"/>
      <c r="E807" s="19"/>
      <c r="F807" s="5"/>
      <c r="H807" s="19"/>
      <c r="O807" s="5"/>
      <c r="Q807" s="5"/>
      <c r="R807" s="9"/>
    </row>
    <row r="808">
      <c r="A808" s="44"/>
      <c r="C808" s="5"/>
      <c r="E808" s="19"/>
      <c r="F808" s="5"/>
      <c r="H808" s="19"/>
      <c r="O808" s="5"/>
      <c r="Q808" s="5"/>
      <c r="R808" s="9"/>
    </row>
    <row r="809">
      <c r="A809" s="44"/>
      <c r="C809" s="5"/>
      <c r="E809" s="19"/>
      <c r="F809" s="5"/>
      <c r="H809" s="19"/>
      <c r="O809" s="5"/>
      <c r="Q809" s="5"/>
      <c r="R809" s="9"/>
    </row>
    <row r="810">
      <c r="A810" s="44"/>
      <c r="C810" s="5"/>
      <c r="E810" s="19"/>
      <c r="F810" s="5"/>
      <c r="H810" s="19"/>
      <c r="O810" s="5"/>
      <c r="Q810" s="5"/>
      <c r="R810" s="9"/>
    </row>
    <row r="811">
      <c r="A811" s="44"/>
      <c r="C811" s="5"/>
      <c r="E811" s="19"/>
      <c r="F811" s="5"/>
      <c r="H811" s="19"/>
      <c r="O811" s="5"/>
      <c r="Q811" s="5"/>
      <c r="R811" s="9"/>
    </row>
    <row r="812">
      <c r="A812" s="44"/>
      <c r="C812" s="5"/>
      <c r="E812" s="19"/>
      <c r="F812" s="5"/>
      <c r="H812" s="19"/>
      <c r="O812" s="5"/>
      <c r="Q812" s="5"/>
      <c r="R812" s="9"/>
    </row>
    <row r="813">
      <c r="A813" s="44"/>
      <c r="C813" s="5"/>
      <c r="E813" s="19"/>
      <c r="F813" s="5"/>
      <c r="H813" s="19"/>
      <c r="O813" s="5"/>
      <c r="Q813" s="5"/>
      <c r="R813" s="9"/>
    </row>
    <row r="814">
      <c r="A814" s="44"/>
      <c r="C814" s="5"/>
      <c r="E814" s="19"/>
      <c r="F814" s="5"/>
      <c r="H814" s="19"/>
      <c r="O814" s="5"/>
      <c r="Q814" s="5"/>
      <c r="R814" s="9"/>
    </row>
    <row r="815">
      <c r="A815" s="44"/>
      <c r="C815" s="5"/>
      <c r="E815" s="19"/>
      <c r="F815" s="5"/>
      <c r="H815" s="19"/>
      <c r="O815" s="5"/>
      <c r="Q815" s="5"/>
      <c r="R815" s="9"/>
    </row>
    <row r="816">
      <c r="A816" s="44"/>
      <c r="C816" s="5"/>
      <c r="E816" s="19"/>
      <c r="F816" s="5"/>
      <c r="H816" s="19"/>
      <c r="O816" s="5"/>
      <c r="Q816" s="5"/>
      <c r="R816" s="9"/>
    </row>
    <row r="817">
      <c r="A817" s="44"/>
      <c r="C817" s="5"/>
      <c r="E817" s="19"/>
      <c r="F817" s="5"/>
      <c r="H817" s="19"/>
      <c r="O817" s="5"/>
      <c r="Q817" s="5"/>
      <c r="R817" s="9"/>
    </row>
    <row r="818">
      <c r="A818" s="44"/>
      <c r="C818" s="5"/>
      <c r="E818" s="19"/>
      <c r="F818" s="5"/>
      <c r="H818" s="19"/>
      <c r="O818" s="5"/>
      <c r="Q818" s="5"/>
      <c r="R818" s="9"/>
    </row>
    <row r="819">
      <c r="A819" s="44"/>
      <c r="C819" s="5"/>
      <c r="E819" s="19"/>
      <c r="F819" s="5"/>
      <c r="H819" s="19"/>
      <c r="O819" s="5"/>
      <c r="Q819" s="5"/>
      <c r="R819" s="9"/>
    </row>
    <row r="820">
      <c r="A820" s="44"/>
      <c r="C820" s="5"/>
      <c r="E820" s="19"/>
      <c r="F820" s="5"/>
      <c r="H820" s="19"/>
      <c r="O820" s="5"/>
      <c r="Q820" s="5"/>
      <c r="R820" s="9"/>
    </row>
    <row r="821">
      <c r="A821" s="44"/>
      <c r="C821" s="5"/>
      <c r="E821" s="19"/>
      <c r="F821" s="5"/>
      <c r="H821" s="19"/>
      <c r="O821" s="5"/>
      <c r="Q821" s="5"/>
      <c r="R821" s="9"/>
    </row>
    <row r="822">
      <c r="A822" s="44"/>
      <c r="C822" s="5"/>
      <c r="E822" s="19"/>
      <c r="F822" s="5"/>
      <c r="H822" s="19"/>
      <c r="O822" s="5"/>
      <c r="Q822" s="5"/>
      <c r="R822" s="9"/>
    </row>
    <row r="823">
      <c r="A823" s="44"/>
      <c r="C823" s="5"/>
      <c r="E823" s="19"/>
      <c r="F823" s="5"/>
      <c r="H823" s="19"/>
      <c r="O823" s="5"/>
      <c r="Q823" s="5"/>
      <c r="R823" s="9"/>
    </row>
    <row r="824">
      <c r="A824" s="44"/>
      <c r="C824" s="5"/>
      <c r="E824" s="19"/>
      <c r="F824" s="5"/>
      <c r="H824" s="19"/>
      <c r="O824" s="5"/>
      <c r="Q824" s="5"/>
      <c r="R824" s="9"/>
    </row>
    <row r="825">
      <c r="A825" s="44"/>
      <c r="C825" s="5"/>
      <c r="E825" s="19"/>
      <c r="F825" s="5"/>
      <c r="H825" s="19"/>
      <c r="O825" s="5"/>
      <c r="Q825" s="5"/>
      <c r="R825" s="9"/>
    </row>
    <row r="826">
      <c r="A826" s="44"/>
      <c r="C826" s="5"/>
      <c r="E826" s="19"/>
      <c r="F826" s="5"/>
      <c r="H826" s="19"/>
      <c r="O826" s="5"/>
      <c r="Q826" s="5"/>
      <c r="R826" s="9"/>
    </row>
    <row r="827">
      <c r="A827" s="44"/>
      <c r="C827" s="5"/>
      <c r="E827" s="19"/>
      <c r="F827" s="5"/>
      <c r="H827" s="19"/>
      <c r="O827" s="5"/>
      <c r="Q827" s="5"/>
      <c r="R827" s="9"/>
    </row>
    <row r="828">
      <c r="A828" s="44"/>
      <c r="C828" s="5"/>
      <c r="E828" s="19"/>
      <c r="F828" s="5"/>
      <c r="H828" s="19"/>
      <c r="O828" s="5"/>
      <c r="Q828" s="5"/>
      <c r="R828" s="9"/>
    </row>
    <row r="829">
      <c r="A829" s="44"/>
      <c r="C829" s="5"/>
      <c r="E829" s="19"/>
      <c r="F829" s="5"/>
      <c r="H829" s="19"/>
      <c r="O829" s="5"/>
      <c r="Q829" s="5"/>
      <c r="R829" s="9"/>
    </row>
    <row r="830">
      <c r="A830" s="44"/>
      <c r="C830" s="5"/>
      <c r="E830" s="19"/>
      <c r="F830" s="5"/>
      <c r="H830" s="19"/>
      <c r="O830" s="5"/>
      <c r="Q830" s="5"/>
      <c r="R830" s="9"/>
    </row>
    <row r="831">
      <c r="A831" s="44"/>
      <c r="C831" s="5"/>
      <c r="E831" s="19"/>
      <c r="F831" s="5"/>
      <c r="H831" s="19"/>
      <c r="O831" s="5"/>
      <c r="Q831" s="5"/>
      <c r="R831" s="9"/>
    </row>
    <row r="832">
      <c r="A832" s="44"/>
      <c r="C832" s="5"/>
      <c r="E832" s="19"/>
      <c r="F832" s="5"/>
      <c r="H832" s="19"/>
      <c r="O832" s="5"/>
      <c r="Q832" s="5"/>
      <c r="R832" s="9"/>
    </row>
    <row r="833">
      <c r="A833" s="44"/>
      <c r="C833" s="5"/>
      <c r="E833" s="19"/>
      <c r="F833" s="5"/>
      <c r="H833" s="19"/>
      <c r="O833" s="5"/>
      <c r="Q833" s="5"/>
      <c r="R833" s="9"/>
    </row>
    <row r="834">
      <c r="A834" s="44"/>
      <c r="C834" s="5"/>
      <c r="E834" s="19"/>
      <c r="F834" s="5"/>
      <c r="H834" s="19"/>
      <c r="O834" s="5"/>
      <c r="Q834" s="5"/>
      <c r="R834" s="9"/>
    </row>
    <row r="835">
      <c r="A835" s="44"/>
      <c r="C835" s="5"/>
      <c r="E835" s="19"/>
      <c r="F835" s="5"/>
      <c r="H835" s="19"/>
      <c r="O835" s="5"/>
      <c r="Q835" s="5"/>
      <c r="R835" s="9"/>
    </row>
    <row r="836">
      <c r="A836" s="44"/>
      <c r="C836" s="5"/>
      <c r="E836" s="19"/>
      <c r="F836" s="5"/>
      <c r="H836" s="19"/>
      <c r="O836" s="5"/>
      <c r="Q836" s="5"/>
      <c r="R836" s="9"/>
    </row>
    <row r="837">
      <c r="A837" s="44"/>
      <c r="C837" s="5"/>
      <c r="E837" s="19"/>
      <c r="F837" s="5"/>
      <c r="H837" s="19"/>
      <c r="O837" s="5"/>
      <c r="Q837" s="5"/>
      <c r="R837" s="9"/>
    </row>
    <row r="838">
      <c r="A838" s="44"/>
      <c r="C838" s="5"/>
      <c r="E838" s="19"/>
      <c r="F838" s="5"/>
      <c r="H838" s="19"/>
      <c r="O838" s="5"/>
      <c r="Q838" s="5"/>
      <c r="R838" s="9"/>
    </row>
    <row r="839">
      <c r="A839" s="44"/>
      <c r="C839" s="5"/>
      <c r="E839" s="19"/>
      <c r="F839" s="5"/>
      <c r="H839" s="19"/>
      <c r="O839" s="5"/>
      <c r="Q839" s="5"/>
      <c r="R839" s="9"/>
    </row>
    <row r="840">
      <c r="A840" s="44"/>
      <c r="C840" s="5"/>
      <c r="E840" s="19"/>
      <c r="F840" s="5"/>
      <c r="H840" s="19"/>
      <c r="O840" s="5"/>
      <c r="Q840" s="5"/>
      <c r="R840" s="9"/>
    </row>
    <row r="841">
      <c r="A841" s="44"/>
      <c r="C841" s="5"/>
      <c r="E841" s="19"/>
      <c r="F841" s="5"/>
      <c r="H841" s="19"/>
      <c r="O841" s="5"/>
      <c r="Q841" s="5"/>
      <c r="R841" s="9"/>
    </row>
    <row r="842">
      <c r="A842" s="44"/>
      <c r="C842" s="5"/>
      <c r="E842" s="19"/>
      <c r="F842" s="5"/>
      <c r="H842" s="19"/>
      <c r="O842" s="5"/>
      <c r="Q842" s="5"/>
      <c r="R842" s="9"/>
    </row>
    <row r="843">
      <c r="A843" s="44"/>
      <c r="C843" s="5"/>
      <c r="E843" s="19"/>
      <c r="F843" s="5"/>
      <c r="H843" s="19"/>
      <c r="O843" s="5"/>
      <c r="Q843" s="5"/>
      <c r="R843" s="9"/>
    </row>
    <row r="844">
      <c r="A844" s="44"/>
      <c r="C844" s="5"/>
      <c r="E844" s="19"/>
      <c r="F844" s="5"/>
      <c r="H844" s="19"/>
      <c r="O844" s="5"/>
      <c r="Q844" s="5"/>
      <c r="R844" s="9"/>
    </row>
    <row r="845">
      <c r="A845" s="44"/>
      <c r="C845" s="5"/>
      <c r="E845" s="19"/>
      <c r="F845" s="5"/>
      <c r="H845" s="19"/>
      <c r="O845" s="5"/>
      <c r="Q845" s="5"/>
      <c r="R845" s="9"/>
    </row>
    <row r="846">
      <c r="A846" s="44"/>
      <c r="C846" s="5"/>
      <c r="E846" s="19"/>
      <c r="F846" s="5"/>
      <c r="H846" s="19"/>
      <c r="O846" s="5"/>
      <c r="Q846" s="5"/>
      <c r="R846" s="9"/>
    </row>
    <row r="847">
      <c r="A847" s="44"/>
      <c r="C847" s="5"/>
      <c r="E847" s="19"/>
      <c r="F847" s="5"/>
      <c r="H847" s="19"/>
      <c r="O847" s="5"/>
      <c r="Q847" s="5"/>
      <c r="R847" s="9"/>
    </row>
    <row r="848">
      <c r="A848" s="44"/>
      <c r="C848" s="5"/>
      <c r="E848" s="19"/>
      <c r="F848" s="5"/>
      <c r="H848" s="19"/>
      <c r="O848" s="5"/>
      <c r="Q848" s="5"/>
      <c r="R848" s="9"/>
    </row>
    <row r="849">
      <c r="A849" s="44"/>
      <c r="C849" s="5"/>
      <c r="E849" s="19"/>
      <c r="F849" s="5"/>
      <c r="H849" s="19"/>
      <c r="O849" s="5"/>
      <c r="Q849" s="5"/>
      <c r="R849" s="9"/>
    </row>
    <row r="850">
      <c r="A850" s="44"/>
      <c r="C850" s="5"/>
      <c r="E850" s="19"/>
      <c r="F850" s="5"/>
      <c r="H850" s="19"/>
      <c r="O850" s="5"/>
      <c r="Q850" s="5"/>
      <c r="R850" s="9"/>
    </row>
    <row r="851">
      <c r="A851" s="44"/>
      <c r="C851" s="5"/>
      <c r="E851" s="19"/>
      <c r="F851" s="5"/>
      <c r="H851" s="19"/>
      <c r="O851" s="5"/>
      <c r="Q851" s="5"/>
      <c r="R851" s="9"/>
    </row>
    <row r="852">
      <c r="A852" s="44"/>
      <c r="C852" s="5"/>
      <c r="E852" s="19"/>
      <c r="F852" s="5"/>
      <c r="H852" s="19"/>
      <c r="O852" s="5"/>
      <c r="Q852" s="5"/>
      <c r="R852" s="9"/>
    </row>
    <row r="853">
      <c r="A853" s="44"/>
      <c r="C853" s="5"/>
      <c r="E853" s="19"/>
      <c r="F853" s="5"/>
      <c r="H853" s="19"/>
      <c r="O853" s="5"/>
      <c r="Q853" s="5"/>
      <c r="R853" s="9"/>
    </row>
    <row r="854">
      <c r="A854" s="44"/>
      <c r="C854" s="5"/>
      <c r="E854" s="19"/>
      <c r="F854" s="5"/>
      <c r="H854" s="19"/>
      <c r="O854" s="5"/>
      <c r="Q854" s="5"/>
      <c r="R854" s="9"/>
    </row>
    <row r="855">
      <c r="A855" s="44"/>
      <c r="C855" s="5"/>
      <c r="E855" s="19"/>
      <c r="F855" s="5"/>
      <c r="H855" s="19"/>
      <c r="O855" s="5"/>
      <c r="Q855" s="5"/>
      <c r="R855" s="9"/>
    </row>
    <row r="856">
      <c r="A856" s="44"/>
      <c r="C856" s="5"/>
      <c r="E856" s="19"/>
      <c r="F856" s="5"/>
      <c r="H856" s="19"/>
      <c r="O856" s="5"/>
      <c r="Q856" s="5"/>
      <c r="R856" s="9"/>
    </row>
    <row r="857">
      <c r="A857" s="44"/>
      <c r="C857" s="5"/>
      <c r="E857" s="19"/>
      <c r="F857" s="5"/>
      <c r="H857" s="19"/>
      <c r="O857" s="5"/>
      <c r="Q857" s="5"/>
      <c r="R857" s="9"/>
    </row>
    <row r="858">
      <c r="A858" s="44"/>
      <c r="C858" s="5"/>
      <c r="E858" s="19"/>
      <c r="F858" s="5"/>
      <c r="H858" s="19"/>
      <c r="O858" s="5"/>
      <c r="Q858" s="5"/>
      <c r="R858" s="9"/>
    </row>
    <row r="859">
      <c r="A859" s="44"/>
      <c r="C859" s="5"/>
      <c r="E859" s="19"/>
      <c r="F859" s="5"/>
      <c r="H859" s="19"/>
      <c r="O859" s="5"/>
      <c r="Q859" s="5"/>
      <c r="R859" s="9"/>
    </row>
    <row r="860">
      <c r="A860" s="44"/>
      <c r="C860" s="5"/>
      <c r="E860" s="19"/>
      <c r="F860" s="5"/>
      <c r="H860" s="19"/>
      <c r="O860" s="5"/>
      <c r="Q860" s="5"/>
      <c r="R860" s="9"/>
    </row>
    <row r="861">
      <c r="A861" s="44"/>
      <c r="C861" s="5"/>
      <c r="E861" s="19"/>
      <c r="F861" s="5"/>
      <c r="H861" s="19"/>
      <c r="O861" s="5"/>
      <c r="Q861" s="5"/>
      <c r="R861" s="9"/>
    </row>
    <row r="862">
      <c r="A862" s="44"/>
      <c r="C862" s="5"/>
      <c r="E862" s="19"/>
      <c r="F862" s="5"/>
      <c r="H862" s="19"/>
      <c r="O862" s="5"/>
      <c r="Q862" s="5"/>
      <c r="R862" s="9"/>
    </row>
    <row r="863">
      <c r="A863" s="44"/>
      <c r="C863" s="5"/>
      <c r="E863" s="19"/>
      <c r="F863" s="5"/>
      <c r="H863" s="19"/>
      <c r="O863" s="5"/>
      <c r="Q863" s="5"/>
      <c r="R863" s="9"/>
    </row>
    <row r="864">
      <c r="A864" s="44"/>
      <c r="C864" s="5"/>
      <c r="E864" s="19"/>
      <c r="F864" s="5"/>
      <c r="H864" s="19"/>
      <c r="O864" s="5"/>
      <c r="Q864" s="5"/>
      <c r="R864" s="9"/>
    </row>
    <row r="865">
      <c r="A865" s="44"/>
      <c r="C865" s="5"/>
      <c r="E865" s="19"/>
      <c r="F865" s="5"/>
      <c r="H865" s="19"/>
      <c r="O865" s="5"/>
      <c r="Q865" s="5"/>
      <c r="R865" s="9"/>
    </row>
    <row r="866">
      <c r="A866" s="44"/>
      <c r="C866" s="5"/>
      <c r="E866" s="19"/>
      <c r="F866" s="5"/>
      <c r="H866" s="19"/>
      <c r="O866" s="5"/>
      <c r="Q866" s="5"/>
      <c r="R866" s="9"/>
    </row>
    <row r="867">
      <c r="A867" s="44"/>
      <c r="C867" s="5"/>
      <c r="E867" s="19"/>
      <c r="F867" s="5"/>
      <c r="H867" s="19"/>
      <c r="O867" s="5"/>
      <c r="Q867" s="5"/>
      <c r="R867" s="9"/>
    </row>
    <row r="868">
      <c r="A868" s="44"/>
      <c r="C868" s="5"/>
      <c r="E868" s="19"/>
      <c r="F868" s="5"/>
      <c r="H868" s="19"/>
      <c r="O868" s="5"/>
      <c r="Q868" s="5"/>
      <c r="R868" s="9"/>
    </row>
    <row r="869">
      <c r="A869" s="44"/>
      <c r="C869" s="5"/>
      <c r="E869" s="19"/>
      <c r="F869" s="5"/>
      <c r="H869" s="19"/>
      <c r="O869" s="5"/>
      <c r="Q869" s="5"/>
      <c r="R869" s="9"/>
    </row>
    <row r="870">
      <c r="A870" s="44"/>
      <c r="C870" s="5"/>
      <c r="E870" s="19"/>
      <c r="F870" s="5"/>
      <c r="H870" s="19"/>
      <c r="O870" s="5"/>
      <c r="Q870" s="5"/>
      <c r="R870" s="9"/>
    </row>
    <row r="871">
      <c r="A871" s="44"/>
      <c r="C871" s="5"/>
      <c r="E871" s="19"/>
      <c r="F871" s="5"/>
      <c r="H871" s="19"/>
      <c r="O871" s="5"/>
      <c r="Q871" s="5"/>
      <c r="R871" s="9"/>
    </row>
    <row r="872">
      <c r="A872" s="44"/>
      <c r="C872" s="5"/>
      <c r="E872" s="19"/>
      <c r="F872" s="5"/>
      <c r="H872" s="19"/>
      <c r="O872" s="5"/>
      <c r="Q872" s="5"/>
      <c r="R872" s="9"/>
    </row>
    <row r="873">
      <c r="A873" s="44"/>
      <c r="C873" s="5"/>
      <c r="E873" s="19"/>
      <c r="F873" s="5"/>
      <c r="H873" s="19"/>
      <c r="O873" s="5"/>
      <c r="Q873" s="5"/>
      <c r="R873" s="9"/>
    </row>
    <row r="874">
      <c r="A874" s="44"/>
      <c r="C874" s="5"/>
      <c r="E874" s="19"/>
      <c r="F874" s="5"/>
      <c r="H874" s="19"/>
      <c r="O874" s="5"/>
      <c r="Q874" s="5"/>
      <c r="R874" s="9"/>
    </row>
    <row r="875">
      <c r="A875" s="44"/>
      <c r="C875" s="5"/>
      <c r="E875" s="19"/>
      <c r="F875" s="5"/>
      <c r="H875" s="19"/>
      <c r="O875" s="5"/>
      <c r="Q875" s="5"/>
      <c r="R875" s="9"/>
    </row>
    <row r="876">
      <c r="A876" s="44"/>
      <c r="C876" s="5"/>
      <c r="E876" s="19"/>
      <c r="F876" s="5"/>
      <c r="H876" s="19"/>
      <c r="O876" s="5"/>
      <c r="Q876" s="5"/>
      <c r="R876" s="9"/>
    </row>
    <row r="877">
      <c r="A877" s="44"/>
      <c r="C877" s="5"/>
      <c r="E877" s="19"/>
      <c r="F877" s="5"/>
      <c r="H877" s="19"/>
      <c r="O877" s="5"/>
      <c r="Q877" s="5"/>
      <c r="R877" s="9"/>
    </row>
    <row r="878">
      <c r="A878" s="44"/>
      <c r="C878" s="5"/>
      <c r="E878" s="19"/>
      <c r="F878" s="5"/>
      <c r="H878" s="19"/>
      <c r="O878" s="5"/>
      <c r="Q878" s="5"/>
      <c r="R878" s="9"/>
    </row>
    <row r="879">
      <c r="A879" s="44"/>
      <c r="C879" s="5"/>
      <c r="E879" s="19"/>
      <c r="F879" s="5"/>
      <c r="H879" s="19"/>
      <c r="O879" s="5"/>
      <c r="Q879" s="5"/>
      <c r="R879" s="9"/>
    </row>
    <row r="880">
      <c r="A880" s="44"/>
      <c r="C880" s="5"/>
      <c r="E880" s="19"/>
      <c r="F880" s="5"/>
      <c r="H880" s="19"/>
      <c r="O880" s="5"/>
      <c r="Q880" s="5"/>
      <c r="R880" s="9"/>
    </row>
    <row r="881">
      <c r="A881" s="44"/>
      <c r="C881" s="5"/>
      <c r="E881" s="19"/>
      <c r="F881" s="5"/>
      <c r="H881" s="19"/>
      <c r="O881" s="5"/>
      <c r="Q881" s="5"/>
      <c r="R881" s="9"/>
    </row>
    <row r="882">
      <c r="A882" s="44"/>
      <c r="C882" s="5"/>
      <c r="E882" s="19"/>
      <c r="F882" s="5"/>
      <c r="H882" s="19"/>
      <c r="O882" s="5"/>
      <c r="Q882" s="5"/>
      <c r="R882" s="9"/>
    </row>
    <row r="883">
      <c r="A883" s="44"/>
      <c r="C883" s="5"/>
      <c r="E883" s="19"/>
      <c r="F883" s="5"/>
      <c r="H883" s="19"/>
      <c r="O883" s="5"/>
      <c r="Q883" s="5"/>
      <c r="R883" s="9"/>
    </row>
    <row r="884">
      <c r="A884" s="44"/>
      <c r="C884" s="5"/>
      <c r="E884" s="19"/>
      <c r="F884" s="5"/>
      <c r="H884" s="19"/>
      <c r="O884" s="5"/>
      <c r="Q884" s="5"/>
      <c r="R884" s="9"/>
    </row>
    <row r="885">
      <c r="A885" s="44"/>
      <c r="C885" s="5"/>
      <c r="E885" s="19"/>
      <c r="F885" s="5"/>
      <c r="H885" s="19"/>
      <c r="O885" s="5"/>
      <c r="Q885" s="5"/>
      <c r="R885" s="9"/>
    </row>
    <row r="886">
      <c r="A886" s="44"/>
      <c r="C886" s="5"/>
      <c r="E886" s="19"/>
      <c r="F886" s="5"/>
      <c r="H886" s="19"/>
      <c r="O886" s="5"/>
      <c r="Q886" s="5"/>
      <c r="R886" s="9"/>
    </row>
    <row r="887">
      <c r="A887" s="44"/>
      <c r="C887" s="5"/>
      <c r="E887" s="19"/>
      <c r="F887" s="5"/>
      <c r="H887" s="19"/>
      <c r="O887" s="5"/>
      <c r="Q887" s="5"/>
      <c r="R887" s="9"/>
    </row>
    <row r="888">
      <c r="A888" s="44"/>
      <c r="C888" s="5"/>
      <c r="E888" s="19"/>
      <c r="F888" s="5"/>
      <c r="H888" s="19"/>
      <c r="O888" s="5"/>
      <c r="Q888" s="5"/>
      <c r="R888" s="9"/>
    </row>
    <row r="889">
      <c r="A889" s="44"/>
      <c r="C889" s="5"/>
      <c r="E889" s="19"/>
      <c r="F889" s="5"/>
      <c r="H889" s="19"/>
      <c r="O889" s="5"/>
      <c r="Q889" s="5"/>
      <c r="R889" s="9"/>
    </row>
    <row r="890">
      <c r="A890" s="44"/>
      <c r="C890" s="5"/>
      <c r="E890" s="19"/>
      <c r="F890" s="5"/>
      <c r="H890" s="19"/>
      <c r="O890" s="5"/>
      <c r="Q890" s="5"/>
      <c r="R890" s="9"/>
    </row>
    <row r="891">
      <c r="A891" s="44"/>
      <c r="C891" s="5"/>
      <c r="E891" s="19"/>
      <c r="F891" s="5"/>
      <c r="H891" s="19"/>
      <c r="O891" s="5"/>
      <c r="Q891" s="5"/>
      <c r="R891" s="9"/>
    </row>
    <row r="892">
      <c r="A892" s="44"/>
      <c r="C892" s="5"/>
      <c r="E892" s="19"/>
      <c r="F892" s="5"/>
      <c r="H892" s="19"/>
      <c r="O892" s="5"/>
      <c r="Q892" s="5"/>
      <c r="R892" s="9"/>
    </row>
    <row r="893">
      <c r="A893" s="44"/>
      <c r="C893" s="5"/>
      <c r="E893" s="19"/>
      <c r="F893" s="5"/>
      <c r="H893" s="19"/>
      <c r="O893" s="5"/>
      <c r="Q893" s="5"/>
      <c r="R893" s="9"/>
    </row>
    <row r="894">
      <c r="A894" s="44"/>
      <c r="C894" s="5"/>
      <c r="E894" s="19"/>
      <c r="F894" s="5"/>
      <c r="H894" s="19"/>
      <c r="O894" s="5"/>
      <c r="Q894" s="5"/>
      <c r="R894" s="9"/>
    </row>
    <row r="895">
      <c r="A895" s="44"/>
      <c r="C895" s="5"/>
      <c r="E895" s="19"/>
      <c r="F895" s="5"/>
      <c r="H895" s="19"/>
      <c r="O895" s="5"/>
      <c r="Q895" s="5"/>
      <c r="R895" s="9"/>
    </row>
    <row r="896">
      <c r="A896" s="44"/>
      <c r="C896" s="5"/>
      <c r="E896" s="19"/>
      <c r="F896" s="5"/>
      <c r="H896" s="19"/>
      <c r="O896" s="5"/>
      <c r="Q896" s="5"/>
      <c r="R896" s="9"/>
    </row>
    <row r="897">
      <c r="A897" s="44"/>
      <c r="C897" s="5"/>
      <c r="E897" s="19"/>
      <c r="F897" s="5"/>
      <c r="H897" s="19"/>
      <c r="O897" s="5"/>
      <c r="Q897" s="5"/>
      <c r="R897" s="9"/>
    </row>
    <row r="898">
      <c r="A898" s="44"/>
      <c r="C898" s="5"/>
      <c r="E898" s="19"/>
      <c r="F898" s="5"/>
      <c r="H898" s="19"/>
      <c r="O898" s="5"/>
      <c r="Q898" s="5"/>
      <c r="R898" s="9"/>
    </row>
    <row r="899">
      <c r="A899" s="44"/>
      <c r="C899" s="5"/>
      <c r="E899" s="19"/>
      <c r="F899" s="5"/>
      <c r="H899" s="19"/>
      <c r="O899" s="5"/>
      <c r="Q899" s="5"/>
      <c r="R899" s="9"/>
    </row>
    <row r="900">
      <c r="A900" s="44"/>
      <c r="C900" s="5"/>
      <c r="E900" s="19"/>
      <c r="F900" s="5"/>
      <c r="H900" s="19"/>
      <c r="O900" s="5"/>
      <c r="Q900" s="5"/>
      <c r="R900" s="9"/>
    </row>
    <row r="901">
      <c r="A901" s="44"/>
      <c r="C901" s="5"/>
      <c r="E901" s="19"/>
      <c r="F901" s="5"/>
      <c r="H901" s="19"/>
      <c r="O901" s="5"/>
      <c r="Q901" s="5"/>
      <c r="R901" s="9"/>
    </row>
    <row r="902">
      <c r="A902" s="44"/>
      <c r="C902" s="5"/>
      <c r="E902" s="19"/>
      <c r="F902" s="5"/>
      <c r="H902" s="19"/>
      <c r="O902" s="5"/>
      <c r="Q902" s="5"/>
      <c r="R902" s="9"/>
    </row>
    <row r="903">
      <c r="A903" s="44"/>
      <c r="C903" s="5"/>
      <c r="E903" s="19"/>
      <c r="F903" s="5"/>
      <c r="H903" s="19"/>
      <c r="O903" s="5"/>
      <c r="Q903" s="5"/>
      <c r="R903" s="9"/>
    </row>
    <row r="904">
      <c r="A904" s="44"/>
      <c r="C904" s="5"/>
      <c r="E904" s="19"/>
      <c r="F904" s="5"/>
      <c r="H904" s="19"/>
      <c r="O904" s="5"/>
      <c r="Q904" s="5"/>
      <c r="R904" s="9"/>
    </row>
    <row r="905">
      <c r="A905" s="44"/>
      <c r="C905" s="5"/>
      <c r="E905" s="19"/>
      <c r="F905" s="5"/>
      <c r="H905" s="19"/>
      <c r="O905" s="5"/>
      <c r="Q905" s="5"/>
      <c r="R905" s="9"/>
    </row>
    <row r="906">
      <c r="A906" s="44"/>
      <c r="C906" s="5"/>
      <c r="E906" s="19"/>
      <c r="F906" s="5"/>
      <c r="H906" s="19"/>
      <c r="O906" s="5"/>
      <c r="Q906" s="5"/>
      <c r="R906" s="9"/>
    </row>
    <row r="907">
      <c r="A907" s="44"/>
      <c r="C907" s="5"/>
      <c r="E907" s="19"/>
      <c r="F907" s="5"/>
      <c r="H907" s="19"/>
      <c r="O907" s="5"/>
      <c r="Q907" s="5"/>
      <c r="R907" s="9"/>
    </row>
    <row r="908">
      <c r="A908" s="44"/>
      <c r="C908" s="5"/>
      <c r="E908" s="19"/>
      <c r="F908" s="5"/>
      <c r="H908" s="19"/>
      <c r="O908" s="5"/>
      <c r="Q908" s="5"/>
      <c r="R908" s="9"/>
    </row>
    <row r="909">
      <c r="A909" s="44"/>
      <c r="C909" s="5"/>
      <c r="E909" s="19"/>
      <c r="F909" s="5"/>
      <c r="H909" s="19"/>
      <c r="O909" s="5"/>
      <c r="Q909" s="5"/>
      <c r="R909" s="9"/>
    </row>
    <row r="910">
      <c r="A910" s="44"/>
      <c r="C910" s="5"/>
      <c r="E910" s="19"/>
      <c r="F910" s="5"/>
      <c r="H910" s="19"/>
      <c r="O910" s="5"/>
      <c r="Q910" s="5"/>
      <c r="R910" s="9"/>
    </row>
    <row r="911">
      <c r="A911" s="44"/>
      <c r="C911" s="5"/>
      <c r="E911" s="19"/>
      <c r="F911" s="5"/>
      <c r="H911" s="19"/>
      <c r="O911" s="5"/>
      <c r="Q911" s="5"/>
      <c r="R911" s="9"/>
    </row>
    <row r="912">
      <c r="A912" s="44"/>
      <c r="C912" s="5"/>
      <c r="E912" s="19"/>
      <c r="F912" s="5"/>
      <c r="H912" s="19"/>
      <c r="O912" s="5"/>
      <c r="Q912" s="5"/>
      <c r="R912" s="9"/>
    </row>
    <row r="913">
      <c r="A913" s="44"/>
      <c r="C913" s="5"/>
      <c r="E913" s="19"/>
      <c r="F913" s="5"/>
      <c r="H913" s="19"/>
      <c r="O913" s="5"/>
      <c r="Q913" s="5"/>
      <c r="R913" s="9"/>
    </row>
    <row r="914">
      <c r="A914" s="44"/>
      <c r="C914" s="5"/>
      <c r="E914" s="19"/>
      <c r="F914" s="5"/>
      <c r="H914" s="19"/>
      <c r="O914" s="5"/>
      <c r="Q914" s="5"/>
      <c r="R914" s="9"/>
    </row>
    <row r="915">
      <c r="A915" s="44"/>
      <c r="C915" s="5"/>
      <c r="E915" s="19"/>
      <c r="F915" s="5"/>
      <c r="H915" s="19"/>
      <c r="O915" s="5"/>
      <c r="Q915" s="5"/>
      <c r="R915" s="9"/>
    </row>
    <row r="916">
      <c r="A916" s="44"/>
      <c r="C916" s="5"/>
      <c r="E916" s="19"/>
      <c r="F916" s="5"/>
      <c r="H916" s="19"/>
      <c r="O916" s="5"/>
      <c r="Q916" s="5"/>
      <c r="R916" s="9"/>
    </row>
    <row r="917">
      <c r="A917" s="44"/>
      <c r="C917" s="5"/>
      <c r="E917" s="19"/>
      <c r="F917" s="5"/>
      <c r="H917" s="19"/>
      <c r="O917" s="5"/>
      <c r="Q917" s="5"/>
      <c r="R917" s="9"/>
    </row>
    <row r="918">
      <c r="A918" s="44"/>
      <c r="C918" s="5"/>
      <c r="E918" s="19"/>
      <c r="F918" s="5"/>
      <c r="H918" s="19"/>
      <c r="O918" s="5"/>
      <c r="Q918" s="5"/>
      <c r="R918" s="9"/>
    </row>
    <row r="919">
      <c r="A919" s="44"/>
      <c r="C919" s="5"/>
      <c r="E919" s="19"/>
      <c r="F919" s="5"/>
      <c r="H919" s="19"/>
      <c r="O919" s="5"/>
      <c r="Q919" s="5"/>
      <c r="R919" s="9"/>
    </row>
    <row r="920">
      <c r="A920" s="44"/>
      <c r="C920" s="5"/>
      <c r="E920" s="19"/>
      <c r="F920" s="5"/>
      <c r="H920" s="19"/>
      <c r="O920" s="5"/>
      <c r="Q920" s="5"/>
      <c r="R920" s="9"/>
    </row>
    <row r="921">
      <c r="A921" s="44"/>
      <c r="C921" s="5"/>
      <c r="E921" s="19"/>
      <c r="F921" s="5"/>
      <c r="H921" s="19"/>
      <c r="O921" s="5"/>
      <c r="Q921" s="5"/>
      <c r="R921" s="9"/>
    </row>
    <row r="922">
      <c r="A922" s="44"/>
      <c r="C922" s="5"/>
      <c r="E922" s="19"/>
      <c r="F922" s="5"/>
      <c r="H922" s="19"/>
      <c r="O922" s="5"/>
      <c r="Q922" s="5"/>
      <c r="R922" s="9"/>
    </row>
    <row r="923">
      <c r="A923" s="44"/>
      <c r="C923" s="5"/>
      <c r="E923" s="19"/>
      <c r="F923" s="5"/>
      <c r="H923" s="19"/>
      <c r="O923" s="5"/>
      <c r="Q923" s="5"/>
      <c r="R923" s="9"/>
    </row>
    <row r="924">
      <c r="A924" s="44"/>
      <c r="C924" s="5"/>
      <c r="E924" s="19"/>
      <c r="F924" s="5"/>
      <c r="H924" s="19"/>
      <c r="O924" s="5"/>
      <c r="Q924" s="5"/>
      <c r="R924" s="9"/>
    </row>
    <row r="925">
      <c r="A925" s="44"/>
      <c r="C925" s="5"/>
      <c r="E925" s="19"/>
      <c r="F925" s="5"/>
      <c r="H925" s="19"/>
      <c r="O925" s="5"/>
      <c r="Q925" s="5"/>
      <c r="R925" s="9"/>
    </row>
    <row r="926">
      <c r="A926" s="44"/>
      <c r="C926" s="5"/>
      <c r="E926" s="19"/>
      <c r="F926" s="5"/>
      <c r="H926" s="19"/>
      <c r="O926" s="5"/>
      <c r="Q926" s="5"/>
      <c r="R926" s="9"/>
    </row>
    <row r="927">
      <c r="A927" s="44"/>
      <c r="C927" s="5"/>
      <c r="E927" s="19"/>
      <c r="F927" s="5"/>
      <c r="H927" s="19"/>
      <c r="O927" s="5"/>
      <c r="Q927" s="5"/>
      <c r="R927" s="9"/>
    </row>
    <row r="928">
      <c r="A928" s="44"/>
      <c r="C928" s="5"/>
      <c r="E928" s="19"/>
      <c r="F928" s="5"/>
      <c r="H928" s="19"/>
      <c r="O928" s="5"/>
      <c r="Q928" s="5"/>
      <c r="R928" s="9"/>
    </row>
    <row r="929">
      <c r="A929" s="44"/>
      <c r="C929" s="5"/>
      <c r="E929" s="19"/>
      <c r="F929" s="5"/>
      <c r="H929" s="19"/>
      <c r="O929" s="5"/>
      <c r="Q929" s="5"/>
      <c r="R929" s="9"/>
    </row>
    <row r="930">
      <c r="A930" s="44"/>
      <c r="C930" s="5"/>
      <c r="E930" s="19"/>
      <c r="F930" s="5"/>
      <c r="H930" s="19"/>
      <c r="O930" s="5"/>
      <c r="Q930" s="5"/>
      <c r="R930" s="9"/>
    </row>
    <row r="931">
      <c r="A931" s="44"/>
      <c r="C931" s="5"/>
      <c r="E931" s="19"/>
      <c r="F931" s="5"/>
      <c r="H931" s="19"/>
      <c r="O931" s="5"/>
      <c r="Q931" s="5"/>
      <c r="R931" s="9"/>
    </row>
    <row r="932">
      <c r="A932" s="44"/>
      <c r="C932" s="5"/>
      <c r="E932" s="19"/>
      <c r="F932" s="5"/>
      <c r="H932" s="19"/>
      <c r="O932" s="5"/>
      <c r="Q932" s="5"/>
      <c r="R932" s="9"/>
    </row>
    <row r="933">
      <c r="A933" s="44"/>
      <c r="C933" s="5"/>
      <c r="E933" s="19"/>
      <c r="F933" s="5"/>
      <c r="H933" s="19"/>
      <c r="O933" s="5"/>
      <c r="Q933" s="5"/>
      <c r="R933" s="9"/>
    </row>
    <row r="934">
      <c r="A934" s="44"/>
      <c r="C934" s="5"/>
      <c r="E934" s="19"/>
      <c r="F934" s="5"/>
      <c r="H934" s="19"/>
      <c r="O934" s="5"/>
      <c r="Q934" s="5"/>
      <c r="R934" s="9"/>
    </row>
    <row r="935">
      <c r="A935" s="44"/>
      <c r="C935" s="5"/>
      <c r="E935" s="19"/>
      <c r="F935" s="5"/>
      <c r="H935" s="19"/>
      <c r="O935" s="5"/>
      <c r="Q935" s="5"/>
      <c r="R935" s="9"/>
    </row>
    <row r="936">
      <c r="A936" s="44"/>
      <c r="C936" s="5"/>
      <c r="E936" s="19"/>
      <c r="F936" s="5"/>
      <c r="H936" s="19"/>
      <c r="O936" s="5"/>
      <c r="Q936" s="5"/>
      <c r="R936" s="9"/>
    </row>
    <row r="937">
      <c r="A937" s="44"/>
      <c r="C937" s="5"/>
      <c r="E937" s="19"/>
      <c r="F937" s="5"/>
      <c r="H937" s="19"/>
      <c r="O937" s="5"/>
      <c r="Q937" s="5"/>
      <c r="R937" s="9"/>
    </row>
    <row r="938">
      <c r="A938" s="44"/>
      <c r="C938" s="5"/>
      <c r="E938" s="19"/>
      <c r="F938" s="5"/>
      <c r="H938" s="19"/>
      <c r="O938" s="5"/>
      <c r="Q938" s="5"/>
      <c r="R938" s="9"/>
    </row>
    <row r="939">
      <c r="A939" s="44"/>
      <c r="C939" s="5"/>
      <c r="E939" s="19"/>
      <c r="F939" s="5"/>
      <c r="H939" s="19"/>
      <c r="O939" s="5"/>
      <c r="Q939" s="5"/>
      <c r="R939" s="9"/>
    </row>
    <row r="940">
      <c r="A940" s="44"/>
      <c r="C940" s="5"/>
      <c r="E940" s="19"/>
      <c r="F940" s="5"/>
      <c r="H940" s="19"/>
      <c r="O940" s="5"/>
      <c r="Q940" s="5"/>
      <c r="R940" s="9"/>
    </row>
    <row r="941">
      <c r="A941" s="44"/>
      <c r="C941" s="5"/>
      <c r="E941" s="19"/>
      <c r="F941" s="5"/>
      <c r="H941" s="19"/>
      <c r="O941" s="5"/>
      <c r="Q941" s="5"/>
      <c r="R941" s="9"/>
    </row>
    <row r="942">
      <c r="A942" s="44"/>
      <c r="C942" s="5"/>
      <c r="E942" s="19"/>
      <c r="F942" s="5"/>
      <c r="H942" s="19"/>
      <c r="O942" s="5"/>
      <c r="Q942" s="5"/>
      <c r="R942" s="9"/>
    </row>
    <row r="943">
      <c r="A943" s="44"/>
      <c r="C943" s="5"/>
      <c r="E943" s="19"/>
      <c r="F943" s="5"/>
      <c r="H943" s="19"/>
      <c r="O943" s="5"/>
      <c r="Q943" s="5"/>
      <c r="R943" s="9"/>
    </row>
    <row r="944">
      <c r="A944" s="44"/>
      <c r="C944" s="5"/>
      <c r="E944" s="19"/>
      <c r="F944" s="5"/>
      <c r="H944" s="19"/>
      <c r="O944" s="5"/>
      <c r="Q944" s="5"/>
      <c r="R944" s="9"/>
    </row>
    <row r="945">
      <c r="A945" s="44"/>
      <c r="C945" s="5"/>
      <c r="E945" s="19"/>
      <c r="F945" s="5"/>
      <c r="H945" s="19"/>
      <c r="O945" s="5"/>
      <c r="Q945" s="5"/>
      <c r="R945" s="9"/>
    </row>
    <row r="946">
      <c r="A946" s="44"/>
      <c r="C946" s="5"/>
      <c r="E946" s="19"/>
      <c r="F946" s="5"/>
      <c r="H946" s="19"/>
      <c r="O946" s="5"/>
      <c r="Q946" s="5"/>
      <c r="R946" s="9"/>
    </row>
    <row r="947">
      <c r="A947" s="44"/>
      <c r="C947" s="5"/>
      <c r="E947" s="19"/>
      <c r="F947" s="5"/>
      <c r="H947" s="19"/>
      <c r="O947" s="5"/>
      <c r="Q947" s="5"/>
      <c r="R947" s="9"/>
    </row>
    <row r="948">
      <c r="A948" s="44"/>
      <c r="C948" s="5"/>
      <c r="E948" s="19"/>
      <c r="F948" s="5"/>
      <c r="H948" s="19"/>
      <c r="O948" s="5"/>
      <c r="Q948" s="5"/>
      <c r="R948" s="9"/>
    </row>
    <row r="949">
      <c r="A949" s="44"/>
      <c r="C949" s="5"/>
      <c r="E949" s="19"/>
      <c r="F949" s="5"/>
      <c r="H949" s="19"/>
      <c r="O949" s="5"/>
      <c r="Q949" s="5"/>
      <c r="R949" s="9"/>
    </row>
    <row r="950">
      <c r="A950" s="44"/>
      <c r="C950" s="5"/>
      <c r="E950" s="19"/>
      <c r="F950" s="5"/>
      <c r="H950" s="19"/>
      <c r="O950" s="5"/>
      <c r="Q950" s="5"/>
      <c r="R950" s="9"/>
    </row>
    <row r="951">
      <c r="A951" s="44"/>
      <c r="C951" s="5"/>
      <c r="E951" s="19"/>
      <c r="F951" s="5"/>
      <c r="H951" s="19"/>
      <c r="O951" s="5"/>
      <c r="Q951" s="5"/>
      <c r="R951" s="9"/>
    </row>
    <row r="952">
      <c r="A952" s="44"/>
      <c r="C952" s="5"/>
      <c r="E952" s="19"/>
      <c r="F952" s="5"/>
      <c r="H952" s="19"/>
      <c r="O952" s="5"/>
      <c r="Q952" s="5"/>
      <c r="R952" s="9"/>
    </row>
    <row r="953">
      <c r="A953" s="44"/>
      <c r="C953" s="5"/>
      <c r="E953" s="19"/>
      <c r="F953" s="5"/>
      <c r="H953" s="19"/>
      <c r="O953" s="5"/>
      <c r="Q953" s="5"/>
      <c r="R953" s="9"/>
    </row>
    <row r="954">
      <c r="A954" s="44"/>
      <c r="C954" s="5"/>
      <c r="E954" s="19"/>
      <c r="F954" s="5"/>
      <c r="H954" s="19"/>
      <c r="O954" s="5"/>
      <c r="Q954" s="5"/>
      <c r="R954" s="9"/>
    </row>
    <row r="955">
      <c r="A955" s="44"/>
      <c r="C955" s="5"/>
      <c r="E955" s="19"/>
      <c r="F955" s="5"/>
      <c r="H955" s="19"/>
      <c r="O955" s="5"/>
      <c r="Q955" s="5"/>
      <c r="R955" s="9"/>
    </row>
    <row r="956">
      <c r="A956" s="44"/>
      <c r="C956" s="5"/>
      <c r="E956" s="19"/>
      <c r="F956" s="5"/>
      <c r="H956" s="19"/>
      <c r="O956" s="5"/>
      <c r="Q956" s="5"/>
      <c r="R956" s="9"/>
    </row>
    <row r="957">
      <c r="A957" s="44"/>
      <c r="C957" s="5"/>
      <c r="E957" s="19"/>
      <c r="F957" s="5"/>
      <c r="H957" s="19"/>
      <c r="O957" s="5"/>
      <c r="Q957" s="5"/>
      <c r="R957" s="9"/>
    </row>
    <row r="958">
      <c r="A958" s="44"/>
      <c r="C958" s="5"/>
      <c r="E958" s="19"/>
      <c r="F958" s="5"/>
      <c r="H958" s="19"/>
      <c r="O958" s="5"/>
      <c r="Q958" s="5"/>
      <c r="R958" s="9"/>
    </row>
    <row r="959">
      <c r="A959" s="44"/>
      <c r="C959" s="5"/>
      <c r="E959" s="19"/>
      <c r="F959" s="5"/>
      <c r="H959" s="19"/>
      <c r="O959" s="5"/>
      <c r="Q959" s="5"/>
      <c r="R959" s="9"/>
    </row>
    <row r="960">
      <c r="A960" s="44"/>
      <c r="C960" s="5"/>
      <c r="E960" s="19"/>
      <c r="F960" s="5"/>
      <c r="H960" s="19"/>
      <c r="O960" s="5"/>
      <c r="Q960" s="5"/>
      <c r="R960" s="9"/>
    </row>
    <row r="961">
      <c r="A961" s="44"/>
      <c r="C961" s="5"/>
      <c r="E961" s="19"/>
      <c r="F961" s="5"/>
      <c r="H961" s="19"/>
      <c r="O961" s="5"/>
      <c r="Q961" s="5"/>
      <c r="R961" s="9"/>
    </row>
    <row r="962">
      <c r="A962" s="44"/>
      <c r="C962" s="5"/>
      <c r="E962" s="19"/>
      <c r="F962" s="5"/>
      <c r="H962" s="19"/>
      <c r="O962" s="5"/>
      <c r="Q962" s="5"/>
      <c r="R962" s="9"/>
    </row>
    <row r="963">
      <c r="A963" s="44"/>
      <c r="C963" s="5"/>
      <c r="E963" s="19"/>
      <c r="F963" s="5"/>
      <c r="H963" s="19"/>
      <c r="O963" s="5"/>
      <c r="Q963" s="5"/>
      <c r="R963" s="9"/>
    </row>
    <row r="964">
      <c r="A964" s="44"/>
      <c r="C964" s="5"/>
      <c r="E964" s="19"/>
      <c r="F964" s="5"/>
      <c r="H964" s="19"/>
      <c r="O964" s="5"/>
      <c r="Q964" s="5"/>
      <c r="R964" s="9"/>
    </row>
    <row r="965">
      <c r="A965" s="44"/>
      <c r="C965" s="5"/>
      <c r="E965" s="19"/>
      <c r="F965" s="5"/>
      <c r="H965" s="19"/>
      <c r="O965" s="5"/>
      <c r="Q965" s="5"/>
      <c r="R965" s="9"/>
    </row>
    <row r="966">
      <c r="A966" s="44"/>
      <c r="C966" s="5"/>
      <c r="E966" s="19"/>
      <c r="F966" s="5"/>
      <c r="H966" s="19"/>
      <c r="O966" s="5"/>
      <c r="Q966" s="5"/>
      <c r="R966" s="9"/>
    </row>
    <row r="967">
      <c r="A967" s="44"/>
      <c r="C967" s="5"/>
      <c r="E967" s="19"/>
      <c r="F967" s="5"/>
      <c r="H967" s="19"/>
      <c r="O967" s="5"/>
      <c r="Q967" s="5"/>
      <c r="R967" s="9"/>
    </row>
    <row r="968">
      <c r="A968" s="44"/>
      <c r="C968" s="5"/>
      <c r="E968" s="19"/>
      <c r="F968" s="5"/>
      <c r="H968" s="19"/>
      <c r="O968" s="5"/>
      <c r="Q968" s="5"/>
      <c r="R968" s="9"/>
    </row>
    <row r="969">
      <c r="A969" s="44"/>
      <c r="C969" s="5"/>
      <c r="E969" s="19"/>
      <c r="F969" s="5"/>
      <c r="H969" s="19"/>
      <c r="O969" s="5"/>
      <c r="Q969" s="5"/>
      <c r="R969" s="9"/>
    </row>
    <row r="970">
      <c r="A970" s="44"/>
      <c r="C970" s="5"/>
      <c r="E970" s="19"/>
      <c r="F970" s="5"/>
      <c r="H970" s="19"/>
      <c r="O970" s="5"/>
      <c r="Q970" s="5"/>
      <c r="R970" s="9"/>
    </row>
    <row r="971">
      <c r="A971" s="44"/>
      <c r="C971" s="5"/>
      <c r="E971" s="19"/>
      <c r="F971" s="5"/>
      <c r="H971" s="19"/>
      <c r="O971" s="5"/>
      <c r="Q971" s="5"/>
      <c r="R971" s="9"/>
    </row>
    <row r="972">
      <c r="A972" s="44"/>
      <c r="C972" s="5"/>
      <c r="E972" s="19"/>
      <c r="F972" s="5"/>
      <c r="H972" s="19"/>
      <c r="O972" s="5"/>
      <c r="Q972" s="5"/>
      <c r="R972" s="9"/>
    </row>
    <row r="973">
      <c r="A973" s="44"/>
      <c r="C973" s="5"/>
      <c r="E973" s="19"/>
      <c r="F973" s="5"/>
      <c r="H973" s="19"/>
      <c r="O973" s="5"/>
      <c r="Q973" s="5"/>
      <c r="R973" s="9"/>
    </row>
    <row r="974">
      <c r="A974" s="44"/>
      <c r="C974" s="5"/>
      <c r="E974" s="19"/>
      <c r="F974" s="5"/>
      <c r="H974" s="19"/>
      <c r="O974" s="5"/>
      <c r="Q974" s="5"/>
      <c r="R974" s="9"/>
    </row>
    <row r="975">
      <c r="A975" s="44"/>
      <c r="C975" s="5"/>
      <c r="E975" s="19"/>
      <c r="F975" s="5"/>
      <c r="H975" s="19"/>
      <c r="O975" s="5"/>
      <c r="Q975" s="5"/>
      <c r="R975" s="9"/>
    </row>
    <row r="976">
      <c r="A976" s="44"/>
      <c r="C976" s="5"/>
      <c r="E976" s="19"/>
      <c r="F976" s="5"/>
      <c r="H976" s="19"/>
      <c r="O976" s="5"/>
      <c r="Q976" s="5"/>
      <c r="R976" s="9"/>
    </row>
    <row r="977">
      <c r="A977" s="44"/>
      <c r="C977" s="5"/>
      <c r="E977" s="19"/>
      <c r="F977" s="5"/>
      <c r="H977" s="19"/>
      <c r="O977" s="5"/>
      <c r="Q977" s="5"/>
      <c r="R977" s="9"/>
    </row>
    <row r="978">
      <c r="A978" s="44"/>
      <c r="C978" s="5"/>
      <c r="E978" s="19"/>
      <c r="F978" s="5"/>
      <c r="H978" s="19"/>
      <c r="O978" s="5"/>
      <c r="Q978" s="5"/>
      <c r="R978" s="9"/>
    </row>
    <row r="979">
      <c r="A979" s="44"/>
      <c r="C979" s="5"/>
      <c r="E979" s="19"/>
      <c r="F979" s="5"/>
      <c r="H979" s="19"/>
      <c r="O979" s="5"/>
      <c r="Q979" s="5"/>
      <c r="R979" s="9"/>
    </row>
    <row r="980">
      <c r="A980" s="44"/>
      <c r="C980" s="5"/>
      <c r="E980" s="19"/>
      <c r="F980" s="5"/>
      <c r="H980" s="19"/>
      <c r="O980" s="5"/>
      <c r="Q980" s="5"/>
      <c r="R980" s="9"/>
    </row>
    <row r="981">
      <c r="A981" s="44"/>
      <c r="C981" s="5"/>
      <c r="E981" s="19"/>
      <c r="F981" s="5"/>
      <c r="H981" s="19"/>
      <c r="O981" s="5"/>
      <c r="Q981" s="5"/>
      <c r="R981" s="9"/>
    </row>
    <row r="982">
      <c r="A982" s="44"/>
      <c r="C982" s="5"/>
      <c r="E982" s="19"/>
      <c r="F982" s="5"/>
      <c r="H982" s="19"/>
      <c r="O982" s="5"/>
      <c r="Q982" s="5"/>
      <c r="R982" s="9"/>
    </row>
    <row r="983">
      <c r="A983" s="44"/>
      <c r="C983" s="5"/>
      <c r="E983" s="19"/>
      <c r="F983" s="5"/>
      <c r="H983" s="19"/>
      <c r="O983" s="5"/>
      <c r="Q983" s="5"/>
      <c r="R983" s="9"/>
    </row>
    <row r="984">
      <c r="A984" s="44"/>
      <c r="C984" s="5"/>
      <c r="E984" s="19"/>
      <c r="F984" s="5"/>
      <c r="H984" s="19"/>
      <c r="O984" s="5"/>
      <c r="Q984" s="5"/>
      <c r="R984" s="9"/>
    </row>
    <row r="985">
      <c r="A985" s="44"/>
      <c r="C985" s="5"/>
      <c r="E985" s="19"/>
      <c r="F985" s="5"/>
      <c r="H985" s="19"/>
      <c r="O985" s="5"/>
      <c r="Q985" s="5"/>
      <c r="R985" s="9"/>
    </row>
    <row r="986">
      <c r="A986" s="44"/>
      <c r="C986" s="5"/>
      <c r="E986" s="19"/>
      <c r="F986" s="5"/>
      <c r="H986" s="19"/>
      <c r="O986" s="5"/>
      <c r="Q986" s="5"/>
      <c r="R986" s="9"/>
    </row>
    <row r="987">
      <c r="A987" s="44"/>
      <c r="C987" s="5"/>
      <c r="E987" s="19"/>
      <c r="F987" s="5"/>
      <c r="H987" s="19"/>
      <c r="O987" s="5"/>
      <c r="Q987" s="5"/>
      <c r="R987" s="9"/>
    </row>
    <row r="988">
      <c r="A988" s="44"/>
      <c r="C988" s="5"/>
      <c r="E988" s="19"/>
      <c r="F988" s="5"/>
      <c r="H988" s="19"/>
      <c r="O988" s="5"/>
      <c r="Q988" s="5"/>
      <c r="R988" s="9"/>
    </row>
    <row r="989">
      <c r="A989" s="44"/>
      <c r="C989" s="5"/>
      <c r="E989" s="19"/>
      <c r="F989" s="5"/>
      <c r="H989" s="19"/>
      <c r="O989" s="5"/>
      <c r="Q989" s="5"/>
      <c r="R989" s="9"/>
    </row>
    <row r="990">
      <c r="A990" s="44"/>
      <c r="C990" s="5"/>
      <c r="E990" s="19"/>
      <c r="F990" s="5"/>
      <c r="H990" s="19"/>
      <c r="O990" s="5"/>
      <c r="Q990" s="5"/>
      <c r="R990" s="9"/>
    </row>
    <row r="991">
      <c r="A991" s="44"/>
      <c r="C991" s="5"/>
      <c r="E991" s="19"/>
      <c r="F991" s="5"/>
      <c r="H991" s="19"/>
      <c r="O991" s="5"/>
      <c r="Q991" s="5"/>
      <c r="R991" s="9"/>
    </row>
    <row r="992">
      <c r="A992" s="44"/>
      <c r="C992" s="5"/>
      <c r="E992" s="19"/>
      <c r="F992" s="5"/>
      <c r="H992" s="19"/>
      <c r="O992" s="5"/>
      <c r="Q992" s="5"/>
      <c r="R992" s="9"/>
    </row>
    <row r="993">
      <c r="A993" s="44"/>
      <c r="C993" s="5"/>
      <c r="E993" s="19"/>
      <c r="F993" s="5"/>
      <c r="H993" s="19"/>
      <c r="O993" s="5"/>
      <c r="Q993" s="5"/>
      <c r="R993" s="9"/>
    </row>
    <row r="994">
      <c r="A994" s="44"/>
      <c r="C994" s="5"/>
      <c r="E994" s="19"/>
      <c r="F994" s="5"/>
      <c r="H994" s="19"/>
      <c r="O994" s="5"/>
      <c r="Q994" s="5"/>
      <c r="R994" s="9"/>
    </row>
    <row r="995">
      <c r="A995" s="44"/>
      <c r="C995" s="5"/>
      <c r="E995" s="19"/>
      <c r="F995" s="5"/>
      <c r="H995" s="19"/>
      <c r="O995" s="5"/>
      <c r="Q995" s="5"/>
      <c r="R995" s="9"/>
    </row>
    <row r="996">
      <c r="A996" s="44"/>
      <c r="C996" s="5"/>
      <c r="E996" s="19"/>
      <c r="F996" s="5"/>
      <c r="H996" s="19"/>
      <c r="O996" s="5"/>
      <c r="Q996" s="5"/>
      <c r="R996" s="9"/>
    </row>
    <row r="997">
      <c r="A997" s="44"/>
      <c r="C997" s="5"/>
      <c r="E997" s="19"/>
      <c r="F997" s="5"/>
      <c r="H997" s="19"/>
      <c r="O997" s="5"/>
      <c r="Q997" s="5"/>
      <c r="R997" s="9"/>
    </row>
    <row r="998">
      <c r="A998" s="44"/>
      <c r="C998" s="5"/>
      <c r="E998" s="19"/>
      <c r="F998" s="5"/>
      <c r="H998" s="19"/>
      <c r="O998" s="5"/>
      <c r="Q998" s="5"/>
      <c r="R998" s="9"/>
    </row>
    <row r="999">
      <c r="A999" s="39"/>
      <c r="C999" s="5"/>
      <c r="E999" s="19"/>
      <c r="F999" s="5"/>
      <c r="H999" s="19"/>
      <c r="O999" s="5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179.04</v>
      </c>
      <c r="G1" s="28"/>
      <c r="H1" s="1" t="s">
        <v>46</v>
      </c>
      <c r="I1" s="5">
        <f>I6-I7</f>
        <v>-331.46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68.07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45870.0</v>
      </c>
      <c r="B2" s="4" t="s">
        <v>8</v>
      </c>
      <c r="C2" s="21">
        <v>500.0</v>
      </c>
      <c r="E2" s="1" t="s">
        <v>52</v>
      </c>
      <c r="F2" s="5">
        <f t="shared" si="1"/>
        <v>98.05</v>
      </c>
      <c r="G2" s="28"/>
      <c r="H2" s="1" t="s">
        <v>6</v>
      </c>
      <c r="I2" s="5">
        <f>SUMIF(B:B,H2,C:C)</f>
        <v>500</v>
      </c>
      <c r="K2" s="1" t="s">
        <v>53</v>
      </c>
      <c r="L2" s="5">
        <f t="shared" si="2"/>
        <v>0</v>
      </c>
      <c r="N2" s="39">
        <v>45870.0</v>
      </c>
      <c r="O2" s="5">
        <f>sumif(A:A,N2,C:C)-sum(C2:C4)</f>
        <v>83.94</v>
      </c>
      <c r="P2" s="5">
        <f>SUM(O2)</f>
        <v>83.94</v>
      </c>
      <c r="Q2" s="5">
        <f t="shared" ref="Q2:Q32" si="3">P2/(ROW()-1)</f>
        <v>83.94</v>
      </c>
      <c r="R2" s="9">
        <f t="shared" ref="R2:R32" si="4">count(N:N)*Q2</f>
        <v>2602.14</v>
      </c>
      <c r="T2" s="9"/>
      <c r="U2" s="9"/>
    </row>
    <row r="3">
      <c r="A3" s="39">
        <v>45870.0</v>
      </c>
      <c r="B3" s="4" t="s">
        <v>54</v>
      </c>
      <c r="C3" s="41">
        <f>850+4.38+198.34</f>
        <v>1052.72</v>
      </c>
      <c r="E3" s="1" t="s">
        <v>55</v>
      </c>
      <c r="F3" s="5">
        <f t="shared" si="1"/>
        <v>101.95</v>
      </c>
      <c r="G3" s="28"/>
      <c r="H3" s="1" t="s">
        <v>8</v>
      </c>
      <c r="I3" s="5">
        <f>SUMIF(B:B,H3,C:C)+I1</f>
        <v>168.54</v>
      </c>
      <c r="K3" s="1" t="s">
        <v>56</v>
      </c>
      <c r="L3" s="5">
        <f t="shared" si="2"/>
        <v>0</v>
      </c>
      <c r="N3" s="39">
        <v>45871.0</v>
      </c>
      <c r="O3" s="40">
        <f t="shared" ref="O3:O32" si="5">sumif(A:A,N3,C:C)</f>
        <v>60.04</v>
      </c>
      <c r="P3" s="5">
        <f t="shared" ref="P3:P32" si="6">P2+O3</f>
        <v>143.98</v>
      </c>
      <c r="Q3" s="5">
        <f t="shared" si="3"/>
        <v>71.99</v>
      </c>
      <c r="R3" s="9">
        <f t="shared" si="4"/>
        <v>2231.69</v>
      </c>
    </row>
    <row r="4">
      <c r="A4" s="39">
        <v>45870.0</v>
      </c>
      <c r="B4" s="4" t="s">
        <v>6</v>
      </c>
      <c r="C4" s="21">
        <v>500.0</v>
      </c>
      <c r="E4" s="1" t="s">
        <v>57</v>
      </c>
      <c r="F4" s="5">
        <f>SUMIF(B:B,"*"&amp;E4&amp;"*",C:C)+SUM(L1:L7)</f>
        <v>183.55</v>
      </c>
      <c r="G4" s="28"/>
      <c r="H4" s="1" t="s">
        <v>58</v>
      </c>
      <c r="I4" s="5">
        <f>I2+I3</f>
        <v>668.54</v>
      </c>
      <c r="K4" s="1" t="s">
        <v>59</v>
      </c>
      <c r="L4" s="5">
        <f t="shared" si="2"/>
        <v>46</v>
      </c>
      <c r="N4" s="39">
        <v>45872.0</v>
      </c>
      <c r="O4" s="40">
        <f t="shared" si="5"/>
        <v>17.71</v>
      </c>
      <c r="P4" s="5">
        <f t="shared" si="6"/>
        <v>161.69</v>
      </c>
      <c r="Q4" s="5">
        <f t="shared" si="3"/>
        <v>53.89666667</v>
      </c>
      <c r="R4" s="9">
        <f t="shared" si="4"/>
        <v>1670.796667</v>
      </c>
    </row>
    <row r="5">
      <c r="A5" s="39">
        <v>45870.0</v>
      </c>
      <c r="B5" s="4" t="s">
        <v>63</v>
      </c>
      <c r="C5" s="21">
        <v>7.0</v>
      </c>
      <c r="E5" s="42" t="s">
        <v>61</v>
      </c>
      <c r="F5" s="5">
        <f t="shared" ref="F5:F12" si="7">SUMIF(B:B,"*"&amp;E5&amp;"*",C:C)</f>
        <v>77.14</v>
      </c>
      <c r="G5" s="28"/>
      <c r="K5" s="1" t="s">
        <v>62</v>
      </c>
      <c r="L5" s="5">
        <f t="shared" si="2"/>
        <v>8.85</v>
      </c>
      <c r="N5" s="39">
        <v>45873.0</v>
      </c>
      <c r="O5" s="40">
        <f t="shared" si="5"/>
        <v>55.58</v>
      </c>
      <c r="P5" s="5">
        <f t="shared" si="6"/>
        <v>217.27</v>
      </c>
      <c r="Q5" s="5">
        <f t="shared" si="3"/>
        <v>54.3175</v>
      </c>
      <c r="R5" s="9">
        <f t="shared" si="4"/>
        <v>1683.8425</v>
      </c>
    </row>
    <row r="6">
      <c r="A6" s="39">
        <v>45870.0</v>
      </c>
      <c r="B6" s="4" t="s">
        <v>67</v>
      </c>
      <c r="C6" s="21">
        <v>21.99</v>
      </c>
      <c r="E6" s="1" t="s">
        <v>64</v>
      </c>
      <c r="F6" s="5">
        <f t="shared" si="7"/>
        <v>56.58</v>
      </c>
      <c r="G6" s="28"/>
      <c r="H6" s="1" t="s">
        <v>65</v>
      </c>
      <c r="I6" s="21">
        <v>3229.64</v>
      </c>
      <c r="K6" s="1" t="s">
        <v>66</v>
      </c>
      <c r="L6" s="5">
        <f t="shared" si="2"/>
        <v>35.36</v>
      </c>
      <c r="N6" s="39">
        <v>45874.0</v>
      </c>
      <c r="O6" s="40">
        <f t="shared" si="5"/>
        <v>264.15</v>
      </c>
      <c r="P6" s="5">
        <f t="shared" si="6"/>
        <v>481.42</v>
      </c>
      <c r="Q6" s="5">
        <f t="shared" si="3"/>
        <v>96.284</v>
      </c>
      <c r="R6" s="9">
        <f t="shared" si="4"/>
        <v>2984.804</v>
      </c>
    </row>
    <row r="7">
      <c r="A7" s="39">
        <v>45870.0</v>
      </c>
      <c r="B7" s="4" t="s">
        <v>183</v>
      </c>
      <c r="C7" s="21">
        <f>99/12</f>
        <v>8.25</v>
      </c>
      <c r="E7" s="1" t="s">
        <v>54</v>
      </c>
      <c r="F7" s="5">
        <f t="shared" si="7"/>
        <v>1059.72</v>
      </c>
      <c r="G7" s="28"/>
      <c r="H7" s="1" t="s">
        <v>68</v>
      </c>
      <c r="I7" s="5">
        <f>sum(C:C)</f>
        <v>3561.1</v>
      </c>
      <c r="K7" s="1" t="s">
        <v>69</v>
      </c>
      <c r="L7" s="5">
        <f t="shared" si="2"/>
        <v>0</v>
      </c>
      <c r="N7" s="39">
        <v>45875.0</v>
      </c>
      <c r="O7" s="40">
        <f t="shared" si="5"/>
        <v>0</v>
      </c>
      <c r="P7" s="5">
        <f t="shared" si="6"/>
        <v>481.42</v>
      </c>
      <c r="Q7" s="5">
        <f t="shared" si="3"/>
        <v>80.23666667</v>
      </c>
      <c r="R7" s="9">
        <f t="shared" si="4"/>
        <v>2487.336667</v>
      </c>
    </row>
    <row r="8">
      <c r="A8" s="39">
        <v>45870.0</v>
      </c>
      <c r="B8" s="4" t="s">
        <v>57</v>
      </c>
      <c r="C8" s="21">
        <v>3.45</v>
      </c>
      <c r="E8" s="1" t="s">
        <v>127</v>
      </c>
      <c r="F8" s="5">
        <f t="shared" si="7"/>
        <v>68.2</v>
      </c>
      <c r="G8" s="28"/>
      <c r="H8" s="1" t="s">
        <v>72</v>
      </c>
      <c r="I8" s="5">
        <f>sum(F:F)+I2+C2</f>
        <v>3124.27</v>
      </c>
      <c r="N8" s="39">
        <v>45876.0</v>
      </c>
      <c r="O8" s="40">
        <f t="shared" si="5"/>
        <v>0</v>
      </c>
      <c r="P8" s="5">
        <f t="shared" si="6"/>
        <v>481.42</v>
      </c>
      <c r="Q8" s="5">
        <f t="shared" si="3"/>
        <v>68.77428571</v>
      </c>
      <c r="R8" s="9">
        <f t="shared" si="4"/>
        <v>2132.002857</v>
      </c>
    </row>
    <row r="9">
      <c r="A9" s="39">
        <v>45870.0</v>
      </c>
      <c r="B9" s="4" t="s">
        <v>66</v>
      </c>
      <c r="C9" s="21">
        <v>9.7</v>
      </c>
      <c r="E9" s="1" t="s">
        <v>73</v>
      </c>
      <c r="F9" s="5">
        <f t="shared" si="7"/>
        <v>54.16</v>
      </c>
      <c r="G9" s="28"/>
      <c r="H9" s="1" t="s">
        <v>74</v>
      </c>
      <c r="I9" s="5">
        <f>I7-I8</f>
        <v>436.83</v>
      </c>
      <c r="N9" s="39">
        <v>45877.0</v>
      </c>
      <c r="O9" s="40">
        <f t="shared" si="5"/>
        <v>0</v>
      </c>
      <c r="P9" s="5">
        <f t="shared" si="6"/>
        <v>481.42</v>
      </c>
      <c r="Q9" s="5">
        <f t="shared" si="3"/>
        <v>60.1775</v>
      </c>
      <c r="R9" s="9">
        <f t="shared" si="4"/>
        <v>1865.5025</v>
      </c>
    </row>
    <row r="10">
      <c r="A10" s="39">
        <v>45870.0</v>
      </c>
      <c r="B10" s="4" t="s">
        <v>87</v>
      </c>
      <c r="C10" s="21">
        <v>6.39</v>
      </c>
      <c r="E10" s="1" t="s">
        <v>75</v>
      </c>
      <c r="F10" s="5">
        <f t="shared" si="7"/>
        <v>21.99</v>
      </c>
      <c r="G10" s="28"/>
      <c r="N10" s="39">
        <v>45878.0</v>
      </c>
      <c r="O10" s="40">
        <f t="shared" si="5"/>
        <v>0</v>
      </c>
      <c r="P10" s="5">
        <f t="shared" si="6"/>
        <v>481.42</v>
      </c>
      <c r="Q10" s="5">
        <f t="shared" si="3"/>
        <v>53.49111111</v>
      </c>
      <c r="R10" s="9">
        <f t="shared" si="4"/>
        <v>1658.224444</v>
      </c>
    </row>
    <row r="11">
      <c r="A11" s="39">
        <v>45870.0</v>
      </c>
      <c r="B11" s="4" t="s">
        <v>52</v>
      </c>
      <c r="C11" s="21">
        <v>20.76</v>
      </c>
      <c r="E11" s="1" t="s">
        <v>76</v>
      </c>
      <c r="F11" s="5">
        <f t="shared" si="7"/>
        <v>10.73</v>
      </c>
      <c r="G11" s="28"/>
      <c r="H11" s="1" t="s">
        <v>3</v>
      </c>
      <c r="I11" s="28">
        <f>I4/I6</f>
        <v>0.2070013995</v>
      </c>
      <c r="N11" s="39">
        <v>45879.0</v>
      </c>
      <c r="O11" s="40">
        <f t="shared" si="5"/>
        <v>0</v>
      </c>
      <c r="P11" s="5">
        <f t="shared" si="6"/>
        <v>481.42</v>
      </c>
      <c r="Q11" s="5">
        <f t="shared" si="3"/>
        <v>48.142</v>
      </c>
      <c r="R11" s="9">
        <f t="shared" si="4"/>
        <v>1492.402</v>
      </c>
    </row>
    <row r="12">
      <c r="A12" s="39">
        <v>45870.0</v>
      </c>
      <c r="B12" s="4" t="s">
        <v>127</v>
      </c>
      <c r="C12" s="21">
        <v>6.4</v>
      </c>
      <c r="E12" s="1" t="s">
        <v>77</v>
      </c>
      <c r="F12" s="5">
        <f t="shared" si="7"/>
        <v>213.16</v>
      </c>
      <c r="G12" s="28"/>
      <c r="N12" s="39">
        <v>45880.0</v>
      </c>
      <c r="O12" s="40">
        <f t="shared" si="5"/>
        <v>0</v>
      </c>
      <c r="P12" s="5">
        <f t="shared" si="6"/>
        <v>481.42</v>
      </c>
      <c r="Q12" s="5">
        <f t="shared" si="3"/>
        <v>43.76545455</v>
      </c>
      <c r="R12" s="9">
        <f t="shared" si="4"/>
        <v>1356.729091</v>
      </c>
    </row>
    <row r="13">
      <c r="A13" s="39">
        <v>45871.0</v>
      </c>
      <c r="B13" s="4" t="s">
        <v>184</v>
      </c>
      <c r="C13" s="21">
        <v>20.4</v>
      </c>
      <c r="E13" s="1"/>
      <c r="F13" s="5"/>
      <c r="N13" s="39">
        <v>45881.0</v>
      </c>
      <c r="O13" s="40">
        <f t="shared" si="5"/>
        <v>29.64</v>
      </c>
      <c r="P13" s="5">
        <f t="shared" si="6"/>
        <v>511.06</v>
      </c>
      <c r="Q13" s="5">
        <f t="shared" si="3"/>
        <v>42.58833333</v>
      </c>
      <c r="R13" s="9">
        <f t="shared" si="4"/>
        <v>1320.238333</v>
      </c>
    </row>
    <row r="14">
      <c r="A14" s="39">
        <v>45871.0</v>
      </c>
      <c r="B14" s="4" t="s">
        <v>93</v>
      </c>
      <c r="C14" s="21">
        <v>5.0</v>
      </c>
      <c r="E14" s="1"/>
      <c r="F14" s="5"/>
      <c r="H14" s="19"/>
      <c r="N14" s="39">
        <v>45882.0</v>
      </c>
      <c r="O14" s="40">
        <f t="shared" si="5"/>
        <v>46.01</v>
      </c>
      <c r="P14" s="5">
        <f t="shared" si="6"/>
        <v>557.07</v>
      </c>
      <c r="Q14" s="5">
        <f t="shared" si="3"/>
        <v>42.85153846</v>
      </c>
      <c r="R14" s="9">
        <f t="shared" si="4"/>
        <v>1328.397692</v>
      </c>
    </row>
    <row r="15">
      <c r="A15" s="39">
        <v>45871.0</v>
      </c>
      <c r="B15" s="4" t="s">
        <v>45</v>
      </c>
      <c r="C15" s="21">
        <v>9.84</v>
      </c>
      <c r="E15" s="1"/>
      <c r="H15" s="1"/>
      <c r="N15" s="39">
        <v>45883.0</v>
      </c>
      <c r="O15" s="40">
        <f t="shared" si="5"/>
        <v>68.09</v>
      </c>
      <c r="P15" s="5">
        <f t="shared" si="6"/>
        <v>625.16</v>
      </c>
      <c r="Q15" s="5">
        <f t="shared" si="3"/>
        <v>44.65428571</v>
      </c>
      <c r="R15" s="9">
        <f t="shared" si="4"/>
        <v>1384.282857</v>
      </c>
    </row>
    <row r="16">
      <c r="A16" s="39">
        <v>45871.0</v>
      </c>
      <c r="B16" s="4" t="s">
        <v>59</v>
      </c>
      <c r="C16" s="21">
        <v>7.0</v>
      </c>
      <c r="H16" s="19"/>
      <c r="N16" s="39">
        <v>45884.0</v>
      </c>
      <c r="O16" s="40">
        <f t="shared" si="5"/>
        <v>22.48</v>
      </c>
      <c r="P16" s="5">
        <f t="shared" si="6"/>
        <v>647.64</v>
      </c>
      <c r="Q16" s="5">
        <f t="shared" si="3"/>
        <v>43.176</v>
      </c>
      <c r="R16" s="9">
        <f t="shared" si="4"/>
        <v>1338.456</v>
      </c>
    </row>
    <row r="17">
      <c r="A17" s="39">
        <v>45871.0</v>
      </c>
      <c r="B17" s="4" t="s">
        <v>73</v>
      </c>
      <c r="C17" s="21">
        <v>12.9</v>
      </c>
      <c r="H17" s="19"/>
      <c r="N17" s="39">
        <v>45885.0</v>
      </c>
      <c r="O17" s="40">
        <f t="shared" si="5"/>
        <v>14.88</v>
      </c>
      <c r="P17" s="5">
        <f t="shared" si="6"/>
        <v>662.52</v>
      </c>
      <c r="Q17" s="5">
        <f t="shared" si="3"/>
        <v>41.4075</v>
      </c>
      <c r="R17" s="9">
        <f t="shared" si="4"/>
        <v>1283.6325</v>
      </c>
    </row>
    <row r="18">
      <c r="A18" s="39">
        <v>45871.0</v>
      </c>
      <c r="B18" s="4" t="s">
        <v>168</v>
      </c>
      <c r="C18" s="21">
        <v>4.9</v>
      </c>
      <c r="H18" s="19"/>
      <c r="N18" s="39">
        <v>45886.0</v>
      </c>
      <c r="O18" s="40">
        <f t="shared" si="5"/>
        <v>170.18</v>
      </c>
      <c r="P18" s="5">
        <f t="shared" si="6"/>
        <v>832.7</v>
      </c>
      <c r="Q18" s="5">
        <f t="shared" si="3"/>
        <v>48.98235294</v>
      </c>
      <c r="R18" s="9">
        <f t="shared" si="4"/>
        <v>1518.452941</v>
      </c>
    </row>
    <row r="19">
      <c r="A19" s="39">
        <v>45872.0</v>
      </c>
      <c r="B19" s="4" t="s">
        <v>57</v>
      </c>
      <c r="C19" s="21">
        <v>2.44</v>
      </c>
      <c r="H19" s="19"/>
      <c r="N19" s="39">
        <v>45887.0</v>
      </c>
      <c r="O19" s="40">
        <f t="shared" si="5"/>
        <v>0</v>
      </c>
      <c r="P19" s="5">
        <f t="shared" si="6"/>
        <v>832.7</v>
      </c>
      <c r="Q19" s="5">
        <f t="shared" si="3"/>
        <v>46.26111111</v>
      </c>
      <c r="R19" s="9">
        <f t="shared" si="4"/>
        <v>1434.094444</v>
      </c>
    </row>
    <row r="20">
      <c r="A20" s="39">
        <v>45872.0</v>
      </c>
      <c r="B20" s="4" t="s">
        <v>87</v>
      </c>
      <c r="C20" s="21">
        <v>1.07</v>
      </c>
      <c r="H20" s="19"/>
      <c r="N20" s="39">
        <v>45888.0</v>
      </c>
      <c r="O20" s="40">
        <f t="shared" si="5"/>
        <v>7.97</v>
      </c>
      <c r="P20" s="5">
        <f t="shared" si="6"/>
        <v>840.67</v>
      </c>
      <c r="Q20" s="5">
        <f t="shared" si="3"/>
        <v>44.24578947</v>
      </c>
      <c r="R20" s="9">
        <f t="shared" si="4"/>
        <v>1371.619474</v>
      </c>
    </row>
    <row r="21">
      <c r="A21" s="39">
        <v>45872.0</v>
      </c>
      <c r="B21" s="4" t="s">
        <v>45</v>
      </c>
      <c r="C21" s="21">
        <v>8.4</v>
      </c>
      <c r="E21" s="19"/>
      <c r="F21" s="5"/>
      <c r="H21" s="19"/>
      <c r="N21" s="39">
        <v>45889.0</v>
      </c>
      <c r="O21" s="40">
        <f t="shared" si="5"/>
        <v>27.02</v>
      </c>
      <c r="P21" s="5">
        <f t="shared" si="6"/>
        <v>867.69</v>
      </c>
      <c r="Q21" s="5">
        <f t="shared" si="3"/>
        <v>43.3845</v>
      </c>
      <c r="R21" s="9">
        <f t="shared" si="4"/>
        <v>1344.9195</v>
      </c>
    </row>
    <row r="22">
      <c r="A22" s="39">
        <v>45872.0</v>
      </c>
      <c r="B22" s="4" t="s">
        <v>127</v>
      </c>
      <c r="C22" s="21">
        <v>5.8</v>
      </c>
      <c r="E22" s="19"/>
      <c r="F22" s="5"/>
      <c r="H22" s="19"/>
      <c r="N22" s="39">
        <v>45890.0</v>
      </c>
      <c r="O22" s="40">
        <f t="shared" si="5"/>
        <v>42.28</v>
      </c>
      <c r="P22" s="5">
        <f t="shared" si="6"/>
        <v>909.97</v>
      </c>
      <c r="Q22" s="5">
        <f t="shared" si="3"/>
        <v>43.33190476</v>
      </c>
      <c r="R22" s="9">
        <f t="shared" si="4"/>
        <v>1343.289048</v>
      </c>
    </row>
    <row r="23">
      <c r="A23" s="39">
        <v>45873.0</v>
      </c>
      <c r="B23" s="4" t="s">
        <v>59</v>
      </c>
      <c r="C23" s="21">
        <v>11.83</v>
      </c>
      <c r="E23" s="19"/>
      <c r="F23" s="5"/>
      <c r="H23" s="19"/>
      <c r="N23" s="39">
        <v>45891.0</v>
      </c>
      <c r="O23" s="40">
        <f t="shared" si="5"/>
        <v>146.4</v>
      </c>
      <c r="P23" s="5">
        <f t="shared" si="6"/>
        <v>1056.37</v>
      </c>
      <c r="Q23" s="5">
        <f t="shared" si="3"/>
        <v>48.01681818</v>
      </c>
      <c r="R23" s="9">
        <f t="shared" si="4"/>
        <v>1488.521364</v>
      </c>
    </row>
    <row r="24">
      <c r="A24" s="39">
        <v>45873.0</v>
      </c>
      <c r="B24" s="4" t="s">
        <v>185</v>
      </c>
      <c r="C24" s="21">
        <v>43.75</v>
      </c>
      <c r="F24" s="5"/>
      <c r="H24" s="19"/>
      <c r="N24" s="39">
        <v>45892.0</v>
      </c>
      <c r="O24" s="40">
        <f t="shared" si="5"/>
        <v>137.84</v>
      </c>
      <c r="P24" s="5">
        <f t="shared" si="6"/>
        <v>1194.21</v>
      </c>
      <c r="Q24" s="5">
        <f t="shared" si="3"/>
        <v>51.92217391</v>
      </c>
      <c r="R24" s="9">
        <f t="shared" si="4"/>
        <v>1609.587391</v>
      </c>
    </row>
    <row r="25">
      <c r="A25" s="39">
        <v>45874.0</v>
      </c>
      <c r="B25" s="4" t="s">
        <v>186</v>
      </c>
      <c r="C25" s="21">
        <v>213.16</v>
      </c>
      <c r="F25" s="5"/>
      <c r="H25" s="19"/>
      <c r="N25" s="39">
        <v>45893.0</v>
      </c>
      <c r="O25" s="40">
        <f t="shared" si="5"/>
        <v>87.79</v>
      </c>
      <c r="P25" s="5">
        <f t="shared" si="6"/>
        <v>1282</v>
      </c>
      <c r="Q25" s="5">
        <f t="shared" si="3"/>
        <v>53.41666667</v>
      </c>
      <c r="R25" s="9">
        <f t="shared" si="4"/>
        <v>1655.916667</v>
      </c>
    </row>
    <row r="26">
      <c r="A26" s="39">
        <v>45874.0</v>
      </c>
      <c r="B26" s="4" t="s">
        <v>73</v>
      </c>
      <c r="C26" s="21">
        <v>25.6</v>
      </c>
      <c r="F26" s="5"/>
      <c r="H26" s="19"/>
      <c r="N26" s="39">
        <v>45894.0</v>
      </c>
      <c r="O26" s="40">
        <f t="shared" si="5"/>
        <v>0</v>
      </c>
      <c r="P26" s="5">
        <f t="shared" si="6"/>
        <v>1282</v>
      </c>
      <c r="Q26" s="5">
        <f t="shared" si="3"/>
        <v>51.28</v>
      </c>
      <c r="R26" s="9">
        <f t="shared" si="4"/>
        <v>1589.68</v>
      </c>
    </row>
    <row r="27">
      <c r="A27" s="39">
        <v>45874.0</v>
      </c>
      <c r="B27" s="4" t="s">
        <v>57</v>
      </c>
      <c r="C27" s="21">
        <v>11.99</v>
      </c>
      <c r="F27" s="5"/>
      <c r="H27" s="19"/>
      <c r="N27" s="39">
        <v>45895.0</v>
      </c>
      <c r="O27" s="40">
        <f t="shared" si="5"/>
        <v>39.98</v>
      </c>
      <c r="P27" s="5">
        <f t="shared" si="6"/>
        <v>1321.98</v>
      </c>
      <c r="Q27" s="5">
        <f t="shared" si="3"/>
        <v>50.84538462</v>
      </c>
      <c r="R27" s="9">
        <f t="shared" si="4"/>
        <v>1576.206923</v>
      </c>
    </row>
    <row r="28">
      <c r="A28" s="39">
        <v>45874.0</v>
      </c>
      <c r="B28" s="4" t="s">
        <v>90</v>
      </c>
      <c r="C28" s="21">
        <v>10.5</v>
      </c>
      <c r="F28" s="5"/>
      <c r="H28" s="19"/>
      <c r="N28" s="39">
        <v>45896.0</v>
      </c>
      <c r="O28" s="40">
        <f t="shared" si="5"/>
        <v>4</v>
      </c>
      <c r="P28" s="5">
        <f t="shared" si="6"/>
        <v>1325.98</v>
      </c>
      <c r="Q28" s="5">
        <f t="shared" si="3"/>
        <v>49.11037037</v>
      </c>
      <c r="R28" s="9">
        <f t="shared" si="4"/>
        <v>1522.421481</v>
      </c>
    </row>
    <row r="29">
      <c r="A29" s="39">
        <v>45874.0</v>
      </c>
      <c r="B29" s="4" t="s">
        <v>127</v>
      </c>
      <c r="C29" s="21">
        <v>2.9</v>
      </c>
      <c r="F29" s="5"/>
      <c r="H29" s="19"/>
      <c r="N29" s="39">
        <v>45897.0</v>
      </c>
      <c r="O29" s="40">
        <f t="shared" si="5"/>
        <v>51.56</v>
      </c>
      <c r="P29" s="5">
        <f t="shared" si="6"/>
        <v>1377.54</v>
      </c>
      <c r="Q29" s="5">
        <f t="shared" si="3"/>
        <v>49.19785714</v>
      </c>
      <c r="R29" s="9">
        <f t="shared" si="4"/>
        <v>1525.133571</v>
      </c>
    </row>
    <row r="30">
      <c r="A30" s="39">
        <v>45881.0</v>
      </c>
      <c r="B30" s="4" t="s">
        <v>76</v>
      </c>
      <c r="C30" s="21">
        <v>5.74</v>
      </c>
      <c r="F30" s="5"/>
      <c r="H30" s="19"/>
      <c r="N30" s="39">
        <v>45898.0</v>
      </c>
      <c r="O30" s="40">
        <f t="shared" si="5"/>
        <v>63.65</v>
      </c>
      <c r="P30" s="5">
        <f t="shared" si="6"/>
        <v>1441.19</v>
      </c>
      <c r="Q30" s="5">
        <f t="shared" si="3"/>
        <v>49.6962069</v>
      </c>
      <c r="R30" s="9">
        <f t="shared" si="4"/>
        <v>1540.582414</v>
      </c>
    </row>
    <row r="31">
      <c r="A31" s="39">
        <v>45881.0</v>
      </c>
      <c r="B31" s="4" t="s">
        <v>89</v>
      </c>
      <c r="C31" s="21">
        <v>10.0</v>
      </c>
      <c r="E31" s="19"/>
      <c r="F31" s="5"/>
      <c r="H31" s="19"/>
      <c r="N31" s="39">
        <v>45899.0</v>
      </c>
      <c r="O31" s="40">
        <f t="shared" si="5"/>
        <v>44.37</v>
      </c>
      <c r="P31" s="5">
        <f t="shared" si="6"/>
        <v>1485.56</v>
      </c>
      <c r="Q31" s="5">
        <f t="shared" si="3"/>
        <v>49.51866667</v>
      </c>
      <c r="R31" s="9">
        <f t="shared" si="4"/>
        <v>1535.078667</v>
      </c>
    </row>
    <row r="32">
      <c r="A32" s="39">
        <v>45881.0</v>
      </c>
      <c r="B32" s="4" t="s">
        <v>127</v>
      </c>
      <c r="C32" s="21">
        <v>13.9</v>
      </c>
      <c r="E32" s="19"/>
      <c r="F32" s="5"/>
      <c r="H32" s="19"/>
      <c r="N32" s="39">
        <v>45900.0</v>
      </c>
      <c r="O32" s="40">
        <f t="shared" si="5"/>
        <v>22.82</v>
      </c>
      <c r="P32" s="5">
        <f t="shared" si="6"/>
        <v>1508.38</v>
      </c>
      <c r="Q32" s="5">
        <f t="shared" si="3"/>
        <v>48.65741935</v>
      </c>
      <c r="R32" s="9">
        <f t="shared" si="4"/>
        <v>1508.38</v>
      </c>
    </row>
    <row r="33">
      <c r="A33" s="39">
        <v>45882.0</v>
      </c>
      <c r="B33" s="4" t="s">
        <v>59</v>
      </c>
      <c r="C33" s="21">
        <v>7.65</v>
      </c>
      <c r="E33" s="19"/>
      <c r="F33" s="5"/>
      <c r="H33" s="19"/>
      <c r="N33" s="39"/>
      <c r="Q33" s="5"/>
      <c r="R33" s="9"/>
    </row>
    <row r="34">
      <c r="A34" s="39">
        <v>45882.0</v>
      </c>
      <c r="B34" s="4" t="s">
        <v>47</v>
      </c>
      <c r="C34" s="21">
        <v>24.42</v>
      </c>
      <c r="E34" s="19"/>
      <c r="F34" s="5"/>
      <c r="H34" s="19"/>
      <c r="Q34" s="5"/>
      <c r="R34" s="9"/>
    </row>
    <row r="35">
      <c r="A35" s="39">
        <v>45882.0</v>
      </c>
      <c r="B35" s="4" t="s">
        <v>57</v>
      </c>
      <c r="C35" s="21">
        <v>4.5</v>
      </c>
      <c r="E35" s="19"/>
      <c r="F35" s="5"/>
      <c r="H35" s="19"/>
      <c r="Q35" s="5"/>
      <c r="R35" s="9"/>
    </row>
    <row r="36">
      <c r="A36" s="39">
        <v>45882.0</v>
      </c>
      <c r="B36" s="4" t="s">
        <v>87</v>
      </c>
      <c r="C36" s="21">
        <v>9.44</v>
      </c>
      <c r="E36" s="19"/>
      <c r="F36" s="5"/>
      <c r="H36" s="19"/>
      <c r="Q36" s="5"/>
      <c r="R36" s="9"/>
    </row>
    <row r="37">
      <c r="A37" s="39">
        <v>45883.0</v>
      </c>
      <c r="B37" s="4" t="s">
        <v>62</v>
      </c>
      <c r="C37" s="21">
        <v>8.0</v>
      </c>
      <c r="E37" s="19"/>
      <c r="F37" s="5"/>
      <c r="H37" s="19"/>
      <c r="Q37" s="5"/>
      <c r="R37" s="9"/>
    </row>
    <row r="38">
      <c r="A38" s="39">
        <v>45883.0</v>
      </c>
      <c r="B38" s="4" t="s">
        <v>76</v>
      </c>
      <c r="C38" s="21">
        <v>0.99</v>
      </c>
      <c r="E38" s="19"/>
      <c r="F38" s="5"/>
      <c r="H38" s="19"/>
      <c r="Q38" s="5"/>
      <c r="R38" s="9"/>
    </row>
    <row r="39">
      <c r="A39" s="39">
        <v>45883.0</v>
      </c>
      <c r="B39" s="4" t="s">
        <v>90</v>
      </c>
      <c r="C39" s="21">
        <v>11.0</v>
      </c>
      <c r="E39" s="19"/>
      <c r="F39" s="5"/>
      <c r="H39" s="19"/>
      <c r="Q39" s="5"/>
      <c r="R39" s="9"/>
    </row>
    <row r="40">
      <c r="A40" s="39">
        <v>45883.0</v>
      </c>
      <c r="B40" s="4" t="s">
        <v>45</v>
      </c>
      <c r="C40" s="21">
        <f>13.7*3</f>
        <v>41.1</v>
      </c>
      <c r="E40" s="19"/>
      <c r="F40" s="5"/>
      <c r="H40" s="19"/>
      <c r="Q40" s="5"/>
      <c r="R40" s="9"/>
    </row>
    <row r="41">
      <c r="A41" s="39">
        <v>45883.0</v>
      </c>
      <c r="B41" s="4" t="s">
        <v>127</v>
      </c>
      <c r="C41" s="21">
        <v>7.0</v>
      </c>
      <c r="E41" s="19"/>
      <c r="F41" s="5"/>
      <c r="H41" s="19"/>
      <c r="Q41" s="5"/>
      <c r="R41" s="9"/>
    </row>
    <row r="42">
      <c r="A42" s="39">
        <v>45884.0</v>
      </c>
      <c r="B42" s="4" t="s">
        <v>52</v>
      </c>
      <c r="C42" s="21">
        <v>22.48</v>
      </c>
      <c r="E42" s="19"/>
      <c r="F42" s="5"/>
      <c r="H42" s="19"/>
      <c r="Q42" s="5"/>
      <c r="R42" s="9"/>
    </row>
    <row r="43">
      <c r="A43" s="39">
        <v>45885.0</v>
      </c>
      <c r="B43" s="4" t="s">
        <v>47</v>
      </c>
      <c r="C43" s="21">
        <v>6.9</v>
      </c>
      <c r="E43" s="19"/>
      <c r="F43" s="5"/>
      <c r="H43" s="19"/>
      <c r="Q43" s="5"/>
      <c r="R43" s="9"/>
    </row>
    <row r="44">
      <c r="A44" s="39">
        <v>45885.0</v>
      </c>
      <c r="B44" s="4" t="s">
        <v>73</v>
      </c>
      <c r="C44" s="21">
        <v>7.98</v>
      </c>
      <c r="E44" s="19"/>
      <c r="F44" s="5"/>
      <c r="H44" s="19"/>
      <c r="Q44" s="5"/>
      <c r="R44" s="9"/>
    </row>
    <row r="45">
      <c r="A45" s="39">
        <v>45886.0</v>
      </c>
      <c r="B45" s="4" t="s">
        <v>172</v>
      </c>
      <c r="C45" s="21">
        <f>117.48+29.67</f>
        <v>147.15</v>
      </c>
      <c r="E45" s="19"/>
      <c r="F45" s="5"/>
      <c r="H45" s="19"/>
      <c r="Q45" s="5"/>
      <c r="R45" s="9"/>
    </row>
    <row r="46">
      <c r="A46" s="39">
        <v>45886.0</v>
      </c>
      <c r="B46" s="4" t="s">
        <v>52</v>
      </c>
      <c r="C46" s="21">
        <v>23.03</v>
      </c>
      <c r="E46" s="19"/>
      <c r="F46" s="5"/>
      <c r="H46" s="19"/>
      <c r="Q46" s="5"/>
      <c r="R46" s="9"/>
    </row>
    <row r="47">
      <c r="A47" s="39">
        <v>45888.0</v>
      </c>
      <c r="B47" s="4" t="s">
        <v>108</v>
      </c>
      <c r="C47" s="21">
        <v>2.5</v>
      </c>
      <c r="E47" s="19"/>
      <c r="F47" s="5"/>
      <c r="H47" s="19"/>
      <c r="Q47" s="5"/>
      <c r="R47" s="9"/>
    </row>
    <row r="48">
      <c r="A48" s="39">
        <v>45888.0</v>
      </c>
      <c r="B48" s="4" t="s">
        <v>59</v>
      </c>
      <c r="C48" s="21">
        <v>5.47</v>
      </c>
      <c r="E48" s="19"/>
      <c r="F48" s="5"/>
      <c r="H48" s="19"/>
      <c r="Q48" s="5"/>
      <c r="R48" s="9"/>
    </row>
    <row r="49">
      <c r="A49" s="39">
        <v>45889.0</v>
      </c>
      <c r="B49" s="4" t="s">
        <v>45</v>
      </c>
      <c r="C49" s="21">
        <v>6.8</v>
      </c>
      <c r="E49" s="19"/>
      <c r="F49" s="5"/>
      <c r="H49" s="19"/>
      <c r="Q49" s="5"/>
      <c r="R49" s="9"/>
    </row>
    <row r="50">
      <c r="A50" s="39">
        <v>45889.0</v>
      </c>
      <c r="B50" s="4" t="s">
        <v>93</v>
      </c>
      <c r="C50" s="21">
        <v>12.0</v>
      </c>
      <c r="E50" s="19"/>
      <c r="F50" s="5"/>
      <c r="H50" s="19"/>
      <c r="Q50" s="5"/>
      <c r="R50" s="9"/>
    </row>
    <row r="51">
      <c r="A51" s="39">
        <v>45889.0</v>
      </c>
      <c r="B51" s="4" t="s">
        <v>47</v>
      </c>
      <c r="C51" s="21">
        <v>8.22</v>
      </c>
      <c r="E51" s="19"/>
      <c r="F51" s="5"/>
      <c r="H51" s="19"/>
      <c r="Q51" s="5"/>
      <c r="R51" s="9"/>
    </row>
    <row r="52">
      <c r="A52" s="39">
        <v>45890.0</v>
      </c>
      <c r="B52" s="4" t="s">
        <v>124</v>
      </c>
      <c r="C52" s="21">
        <v>18.0</v>
      </c>
      <c r="E52" s="19"/>
      <c r="F52" s="5"/>
      <c r="H52" s="19"/>
      <c r="Q52" s="5"/>
      <c r="R52" s="9"/>
    </row>
    <row r="53">
      <c r="A53" s="39">
        <v>45890.0</v>
      </c>
      <c r="B53" s="4" t="s">
        <v>90</v>
      </c>
      <c r="C53" s="21">
        <v>11.99</v>
      </c>
      <c r="E53" s="19"/>
      <c r="F53" s="5"/>
      <c r="H53" s="19"/>
      <c r="Q53" s="5"/>
      <c r="R53" s="9"/>
    </row>
    <row r="54">
      <c r="A54" s="39">
        <v>45890.0</v>
      </c>
      <c r="B54" s="4" t="s">
        <v>95</v>
      </c>
      <c r="C54" s="21">
        <v>5.29</v>
      </c>
      <c r="E54" s="19"/>
      <c r="F54" s="5"/>
      <c r="H54" s="19"/>
      <c r="Q54" s="5"/>
      <c r="R54" s="9"/>
    </row>
    <row r="55">
      <c r="A55" s="39">
        <v>45890.0</v>
      </c>
      <c r="B55" s="4" t="s">
        <v>168</v>
      </c>
      <c r="C55" s="21">
        <v>7.0</v>
      </c>
      <c r="E55" s="19"/>
      <c r="F55" s="5"/>
      <c r="H55" s="19"/>
      <c r="Q55" s="5"/>
      <c r="R55" s="9"/>
    </row>
    <row r="56">
      <c r="A56" s="39">
        <v>45891.0</v>
      </c>
      <c r="B56" s="4" t="s">
        <v>64</v>
      </c>
      <c r="C56" s="21">
        <v>56.58</v>
      </c>
      <c r="E56" s="19"/>
      <c r="F56" s="5"/>
      <c r="H56" s="19"/>
      <c r="Q56" s="5"/>
      <c r="R56" s="9"/>
    </row>
    <row r="57">
      <c r="A57" s="39">
        <v>45891.0</v>
      </c>
      <c r="B57" s="4" t="s">
        <v>45</v>
      </c>
      <c r="C57" s="43">
        <v>21.25</v>
      </c>
      <c r="E57" s="19"/>
      <c r="F57" s="5"/>
      <c r="H57" s="19"/>
      <c r="Q57" s="5"/>
      <c r="R57" s="9"/>
    </row>
    <row r="58">
      <c r="A58" s="39">
        <v>45891.0</v>
      </c>
      <c r="B58" s="4" t="s">
        <v>52</v>
      </c>
      <c r="C58" s="21">
        <v>9.89</v>
      </c>
      <c r="E58" s="19"/>
      <c r="F58" s="5"/>
      <c r="H58" s="19"/>
      <c r="Q58" s="5"/>
      <c r="R58" s="9"/>
    </row>
    <row r="59">
      <c r="A59" s="39">
        <v>45891.0</v>
      </c>
      <c r="B59" s="4" t="s">
        <v>45</v>
      </c>
      <c r="C59" s="21">
        <f>7.4+8</f>
        <v>15.4</v>
      </c>
      <c r="E59" s="19"/>
      <c r="F59" s="5"/>
      <c r="H59" s="19"/>
      <c r="Q59" s="5"/>
      <c r="R59" s="9"/>
    </row>
    <row r="60">
      <c r="A60" s="39">
        <v>45891.0</v>
      </c>
      <c r="B60" s="4" t="s">
        <v>187</v>
      </c>
      <c r="C60" s="21">
        <v>19.0</v>
      </c>
      <c r="E60" s="19"/>
      <c r="F60" s="5"/>
      <c r="H60" s="19"/>
      <c r="Q60" s="5"/>
      <c r="R60" s="9"/>
    </row>
    <row r="61">
      <c r="A61" s="39">
        <v>45891.0</v>
      </c>
      <c r="B61" s="4" t="s">
        <v>66</v>
      </c>
      <c r="C61" s="21">
        <v>8.2</v>
      </c>
      <c r="E61" s="19"/>
      <c r="F61" s="5"/>
      <c r="H61" s="19"/>
      <c r="Q61" s="5"/>
      <c r="R61" s="9"/>
    </row>
    <row r="62">
      <c r="A62" s="39">
        <v>45891.0</v>
      </c>
      <c r="B62" s="4" t="s">
        <v>73</v>
      </c>
      <c r="C62" s="21">
        <v>7.68</v>
      </c>
      <c r="E62" s="19"/>
      <c r="F62" s="5"/>
      <c r="H62" s="19"/>
      <c r="Q62" s="5"/>
      <c r="R62" s="9"/>
    </row>
    <row r="63">
      <c r="A63" s="39">
        <v>45891.0</v>
      </c>
      <c r="B63" s="4" t="s">
        <v>168</v>
      </c>
      <c r="C63" s="21">
        <f>5.5+2.9</f>
        <v>8.4</v>
      </c>
      <c r="E63" s="19"/>
      <c r="F63" s="5"/>
      <c r="H63" s="19"/>
      <c r="Q63" s="5"/>
      <c r="R63" s="9"/>
    </row>
    <row r="64">
      <c r="A64" s="39">
        <v>45892.0</v>
      </c>
      <c r="B64" s="4" t="s">
        <v>188</v>
      </c>
      <c r="C64" s="21">
        <v>104.0</v>
      </c>
      <c r="E64" s="19"/>
      <c r="F64" s="5"/>
      <c r="H64" s="19"/>
      <c r="Q64" s="5"/>
      <c r="R64" s="9"/>
    </row>
    <row r="65">
      <c r="A65" s="39">
        <v>45892.0</v>
      </c>
      <c r="B65" s="4" t="s">
        <v>127</v>
      </c>
      <c r="C65" s="21">
        <v>4.9</v>
      </c>
      <c r="E65" s="19"/>
      <c r="F65" s="5"/>
      <c r="H65" s="19"/>
      <c r="Q65" s="5"/>
      <c r="R65" s="9"/>
    </row>
    <row r="66">
      <c r="A66" s="39">
        <v>45892.0</v>
      </c>
      <c r="B66" s="4" t="s">
        <v>90</v>
      </c>
      <c r="C66" s="21">
        <v>13.45</v>
      </c>
      <c r="E66" s="19"/>
      <c r="F66" s="5"/>
      <c r="H66" s="19"/>
      <c r="Q66" s="5"/>
      <c r="R66" s="9"/>
    </row>
    <row r="67">
      <c r="A67" s="39">
        <v>45892.0</v>
      </c>
      <c r="B67" s="4" t="s">
        <v>57</v>
      </c>
      <c r="C67" s="21">
        <v>2.89</v>
      </c>
      <c r="E67" s="19"/>
      <c r="F67" s="5"/>
      <c r="H67" s="19"/>
      <c r="Q67" s="5"/>
      <c r="R67" s="9"/>
    </row>
    <row r="68">
      <c r="A68" s="39">
        <v>45892.0</v>
      </c>
      <c r="B68" s="4" t="s">
        <v>45</v>
      </c>
      <c r="C68" s="21">
        <v>12.6</v>
      </c>
      <c r="E68" s="19"/>
      <c r="F68" s="5"/>
      <c r="H68" s="19"/>
      <c r="Q68" s="5"/>
      <c r="R68" s="9"/>
    </row>
    <row r="69">
      <c r="A69" s="39">
        <v>45893.0</v>
      </c>
      <c r="B69" s="4" t="s">
        <v>189</v>
      </c>
      <c r="C69" s="21">
        <v>70.0</v>
      </c>
      <c r="E69" s="19"/>
      <c r="F69" s="5"/>
      <c r="H69" s="19"/>
      <c r="Q69" s="5"/>
      <c r="R69" s="9"/>
    </row>
    <row r="70">
      <c r="A70" s="39">
        <v>45893.0</v>
      </c>
      <c r="B70" s="4" t="s">
        <v>47</v>
      </c>
      <c r="C70" s="21">
        <f>12.39+5.4</f>
        <v>17.79</v>
      </c>
      <c r="E70" s="19"/>
      <c r="F70" s="5"/>
      <c r="H70" s="19"/>
      <c r="Q70" s="5"/>
      <c r="R70" s="9"/>
    </row>
    <row r="71">
      <c r="A71" s="39">
        <v>45895.0</v>
      </c>
      <c r="B71" s="4" t="s">
        <v>190</v>
      </c>
      <c r="C71" s="21">
        <f>29.08/2</f>
        <v>14.54</v>
      </c>
      <c r="E71" s="19"/>
      <c r="F71" s="5"/>
      <c r="H71" s="19"/>
      <c r="Q71" s="5"/>
      <c r="R71" s="9"/>
    </row>
    <row r="72">
      <c r="A72" s="39">
        <v>45895.0</v>
      </c>
      <c r="B72" s="4" t="s">
        <v>93</v>
      </c>
      <c r="C72" s="21">
        <v>16.75</v>
      </c>
      <c r="E72" s="19"/>
      <c r="F72" s="5"/>
      <c r="H72" s="19"/>
      <c r="Q72" s="5"/>
      <c r="R72" s="9"/>
    </row>
    <row r="73">
      <c r="A73" s="39">
        <v>45895.0</v>
      </c>
      <c r="B73" s="4" t="s">
        <v>66</v>
      </c>
      <c r="C73" s="21">
        <v>8.69</v>
      </c>
      <c r="E73" s="19"/>
      <c r="F73" s="5"/>
      <c r="H73" s="19"/>
      <c r="Q73" s="5"/>
      <c r="R73" s="9"/>
    </row>
    <row r="74">
      <c r="A74" s="39">
        <v>45896.0</v>
      </c>
      <c r="B74" s="4" t="s">
        <v>76</v>
      </c>
      <c r="C74" s="21">
        <v>4.0</v>
      </c>
      <c r="E74" s="19"/>
      <c r="F74" s="5"/>
      <c r="H74" s="19"/>
      <c r="Q74" s="5"/>
      <c r="R74" s="9"/>
    </row>
    <row r="75">
      <c r="A75" s="39">
        <v>45897.0</v>
      </c>
      <c r="B75" s="4" t="s">
        <v>110</v>
      </c>
      <c r="C75" s="21">
        <v>17.0</v>
      </c>
      <c r="E75" s="19"/>
      <c r="F75" s="5"/>
      <c r="H75" s="19"/>
      <c r="Q75" s="5"/>
      <c r="R75" s="9"/>
    </row>
    <row r="76">
      <c r="A76" s="39">
        <v>45897.0</v>
      </c>
      <c r="B76" s="4" t="s">
        <v>62</v>
      </c>
      <c r="C76" s="21">
        <v>0.85</v>
      </c>
      <c r="E76" s="19"/>
      <c r="F76" s="5"/>
      <c r="H76" s="19"/>
      <c r="Q76" s="5"/>
      <c r="R76" s="9"/>
    </row>
    <row r="77">
      <c r="A77" s="39">
        <v>45897.0</v>
      </c>
      <c r="B77" s="4" t="s">
        <v>90</v>
      </c>
      <c r="C77" s="21">
        <v>11.99</v>
      </c>
      <c r="E77" s="19"/>
      <c r="F77" s="5"/>
      <c r="H77" s="19"/>
      <c r="Q77" s="5"/>
      <c r="R77" s="9"/>
    </row>
    <row r="78">
      <c r="A78" s="39">
        <v>45897.0</v>
      </c>
      <c r="B78" s="4" t="s">
        <v>95</v>
      </c>
      <c r="C78" s="21">
        <v>3.98</v>
      </c>
      <c r="E78" s="19"/>
      <c r="F78" s="5"/>
      <c r="H78" s="19"/>
      <c r="Q78" s="5"/>
      <c r="R78" s="9"/>
    </row>
    <row r="79">
      <c r="A79" s="39">
        <v>45897.0</v>
      </c>
      <c r="B79" s="4" t="s">
        <v>47</v>
      </c>
      <c r="C79" s="21">
        <v>10.74</v>
      </c>
      <c r="E79" s="19"/>
      <c r="F79" s="5"/>
      <c r="H79" s="19"/>
      <c r="Q79" s="5"/>
      <c r="R79" s="9"/>
    </row>
    <row r="80">
      <c r="A80" s="39">
        <v>45897.0</v>
      </c>
      <c r="B80" s="4" t="s">
        <v>168</v>
      </c>
      <c r="C80" s="21">
        <v>7.0</v>
      </c>
      <c r="E80" s="19"/>
      <c r="F80" s="5"/>
      <c r="H80" s="19"/>
      <c r="Q80" s="5"/>
      <c r="R80" s="9"/>
    </row>
    <row r="81">
      <c r="A81" s="39">
        <v>45898.0</v>
      </c>
      <c r="B81" s="4" t="s">
        <v>45</v>
      </c>
      <c r="C81" s="21">
        <f>7+6+8+22.65+20</f>
        <v>63.65</v>
      </c>
      <c r="E81" s="19"/>
      <c r="F81" s="5"/>
      <c r="H81" s="19"/>
      <c r="Q81" s="5"/>
      <c r="R81" s="9"/>
    </row>
    <row r="82">
      <c r="A82" s="39">
        <v>45899.0</v>
      </c>
      <c r="B82" s="4" t="s">
        <v>191</v>
      </c>
      <c r="C82" s="21">
        <v>21.89</v>
      </c>
      <c r="E82" s="19"/>
      <c r="F82" s="5"/>
      <c r="H82" s="19"/>
      <c r="Q82" s="5"/>
      <c r="R82" s="9"/>
    </row>
    <row r="83">
      <c r="A83" s="39">
        <v>45899.0</v>
      </c>
      <c r="B83" s="4" t="s">
        <v>192</v>
      </c>
      <c r="C83" s="21">
        <v>7.49</v>
      </c>
      <c r="E83" s="19"/>
      <c r="F83" s="5"/>
      <c r="H83" s="19"/>
      <c r="Q83" s="5"/>
      <c r="R83" s="9"/>
    </row>
    <row r="84">
      <c r="A84" s="39">
        <v>45899.0</v>
      </c>
      <c r="B84" s="4" t="s">
        <v>87</v>
      </c>
      <c r="C84" s="21">
        <v>14.99</v>
      </c>
      <c r="E84" s="19"/>
      <c r="F84" s="5"/>
      <c r="H84" s="19"/>
      <c r="Q84" s="5"/>
      <c r="R84" s="9"/>
    </row>
    <row r="85">
      <c r="A85" s="39">
        <v>45900.0</v>
      </c>
      <c r="B85" s="4" t="s">
        <v>66</v>
      </c>
      <c r="C85" s="21">
        <v>8.77</v>
      </c>
      <c r="E85" s="19"/>
      <c r="F85" s="5"/>
      <c r="H85" s="19"/>
      <c r="Q85" s="5"/>
      <c r="R85" s="9"/>
    </row>
    <row r="86">
      <c r="A86" s="39">
        <v>45900.0</v>
      </c>
      <c r="B86" s="4" t="s">
        <v>59</v>
      </c>
      <c r="C86" s="21">
        <v>14.05</v>
      </c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SUMPRODUCT(--ISNUMBER(SEARCH(TRANSPOSE($E$1:$E$12), B1)))&gt;0</formula>
    </cfRule>
  </conditionalFormatting>
  <conditionalFormatting sqref="B1:B999">
    <cfRule type="expression" dxfId="2" priority="2">
      <formula>SUMPRODUCT(--ISNUMBER(SEARCH(TRANSPOSE($H$2:$H$3), B1)))&gt;0</formula>
    </cfRule>
  </conditionalFormatting>
  <conditionalFormatting sqref="B1:B999">
    <cfRule type="expression" dxfId="2" priority="3">
      <formula>SUMPRODUCT(--ISNUMBER(SEARCH(TRANSPOSE($K$1:$K$7), B1)))&gt;0</formula>
    </cfRule>
  </conditionalFormatting>
  <conditionalFormatting sqref="V2">
    <cfRule type="cellIs" dxfId="2" priority="4" operator="greaterThan">
      <formula>0</formula>
    </cfRule>
  </conditionalFormatting>
  <conditionalFormatting sqref="V2">
    <cfRule type="cellIs" dxfId="3" priority="5" operator="lessThan">
      <formula>0</formula>
    </cfRule>
  </conditionalFormatting>
  <conditionalFormatting sqref="N1 N33">
    <cfRule type="timePeriod" dxfId="4" priority="6" timePeriod="today"/>
  </conditionalFormatting>
  <conditionalFormatting sqref="N1 N33:N999">
    <cfRule type="timePeriod" dxfId="5" priority="7" timePeriod="today"/>
  </conditionalFormatting>
  <conditionalFormatting sqref="O1:O999 Q1:Q999">
    <cfRule type="cellIs" dxfId="0" priority="8" operator="lessThan">
      <formula>25</formula>
    </cfRule>
  </conditionalFormatting>
  <conditionalFormatting sqref="O1:O999 Q1:Q999">
    <cfRule type="cellIs" dxfId="6" priority="9" operator="lessThan">
      <formula>35</formula>
    </cfRule>
  </conditionalFormatting>
  <conditionalFormatting sqref="O1:O999 Q1:Q999">
    <cfRule type="cellIs" dxfId="1" priority="10" operator="greaterThanOrEqual">
      <formula>35</formula>
    </cfRule>
  </conditionalFormatting>
  <conditionalFormatting sqref="I1">
    <cfRule type="cellIs" dxfId="1" priority="11" operator="lessThan">
      <formula>0</formula>
    </cfRule>
  </conditionalFormatting>
  <conditionalFormatting sqref="I1">
    <cfRule type="cellIs" dxfId="0" priority="12" operator="greaterThan">
      <formula>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3" si="1">SUMIF(B:B,"*"&amp;E1&amp;"*",C:C)</f>
        <v>293.82</v>
      </c>
      <c r="G1" s="28"/>
      <c r="H1" s="1" t="s">
        <v>46</v>
      </c>
      <c r="I1" s="5">
        <f>I6-I7</f>
        <v>-467.1183333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72.75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45839.0</v>
      </c>
      <c r="B2" s="4" t="s">
        <v>8</v>
      </c>
      <c r="C2" s="21">
        <v>1500.0</v>
      </c>
      <c r="E2" s="1" t="s">
        <v>52</v>
      </c>
      <c r="F2" s="5">
        <f t="shared" si="1"/>
        <v>98.67</v>
      </c>
      <c r="G2" s="28"/>
      <c r="H2" s="1" t="s">
        <v>6</v>
      </c>
      <c r="I2" s="5">
        <f>SUMIF(B:B,H2,C:C)</f>
        <v>1500</v>
      </c>
      <c r="K2" s="1" t="s">
        <v>53</v>
      </c>
      <c r="L2" s="5">
        <f t="shared" si="2"/>
        <v>0</v>
      </c>
      <c r="N2" s="39">
        <v>45839.0</v>
      </c>
      <c r="O2" s="5">
        <f>sumif(A:A,N2,C:C)-sum(C2:C4)</f>
        <v>96.43833333</v>
      </c>
      <c r="P2" s="5">
        <f>SUM(O2)</f>
        <v>96.43833333</v>
      </c>
      <c r="Q2" s="5">
        <f t="shared" ref="Q2:Q32" si="3">P2/(ROW()-1)</f>
        <v>96.43833333</v>
      </c>
      <c r="R2" s="9">
        <f t="shared" ref="R2:R32" si="4">count(N:N)*Q2</f>
        <v>2989.588333</v>
      </c>
      <c r="T2" s="9"/>
      <c r="U2" s="9"/>
    </row>
    <row r="3">
      <c r="A3" s="39">
        <v>45839.0</v>
      </c>
      <c r="B3" s="4" t="s">
        <v>54</v>
      </c>
      <c r="C3" s="41">
        <f>850+40.41+119.64</f>
        <v>1010.05</v>
      </c>
      <c r="E3" s="1" t="s">
        <v>55</v>
      </c>
      <c r="F3" s="5">
        <f t="shared" si="1"/>
        <v>273.6</v>
      </c>
      <c r="G3" s="28"/>
      <c r="H3" s="1" t="s">
        <v>8</v>
      </c>
      <c r="I3" s="5">
        <f>SUMIF(B:B,H3,C:C)+I1</f>
        <v>1032.881667</v>
      </c>
      <c r="K3" s="1" t="s">
        <v>56</v>
      </c>
      <c r="L3" s="5">
        <f t="shared" si="2"/>
        <v>14.15</v>
      </c>
      <c r="N3" s="39">
        <v>45840.0</v>
      </c>
      <c r="O3" s="40">
        <f t="shared" ref="O3:O32" si="5">sumif(A:A,N3,C:C)</f>
        <v>39.81</v>
      </c>
      <c r="P3" s="5">
        <f t="shared" ref="P3:P32" si="6">P2+O3</f>
        <v>136.2483333</v>
      </c>
      <c r="Q3" s="5">
        <f t="shared" si="3"/>
        <v>68.12416667</v>
      </c>
      <c r="R3" s="9">
        <f t="shared" si="4"/>
        <v>2111.849167</v>
      </c>
    </row>
    <row r="4">
      <c r="A4" s="39">
        <v>45839.0</v>
      </c>
      <c r="B4" s="4" t="s">
        <v>6</v>
      </c>
      <c r="C4" s="21">
        <v>1500.0</v>
      </c>
      <c r="E4" s="1" t="s">
        <v>57</v>
      </c>
      <c r="F4" s="5">
        <f>SUMIF(B:B,"*"&amp;E4&amp;"*",C:C)+SUM(L1:L6)</f>
        <v>290.35</v>
      </c>
      <c r="G4" s="28"/>
      <c r="H4" s="1" t="s">
        <v>58</v>
      </c>
      <c r="I4" s="5">
        <f>I2+I3</f>
        <v>2532.881667</v>
      </c>
      <c r="K4" s="1" t="s">
        <v>59</v>
      </c>
      <c r="L4" s="5">
        <f t="shared" si="2"/>
        <v>74.26</v>
      </c>
      <c r="N4" s="39">
        <v>45841.0</v>
      </c>
      <c r="O4" s="40">
        <f t="shared" si="5"/>
        <v>37.2</v>
      </c>
      <c r="P4" s="5">
        <f t="shared" si="6"/>
        <v>173.4483333</v>
      </c>
      <c r="Q4" s="5">
        <f t="shared" si="3"/>
        <v>57.81611111</v>
      </c>
      <c r="R4" s="9">
        <f t="shared" si="4"/>
        <v>1792.299444</v>
      </c>
    </row>
    <row r="5">
      <c r="A5" s="39">
        <v>45839.0</v>
      </c>
      <c r="B5" s="4" t="s">
        <v>63</v>
      </c>
      <c r="C5" s="21">
        <v>7.0</v>
      </c>
      <c r="E5" s="42" t="s">
        <v>61</v>
      </c>
      <c r="F5" s="5">
        <f t="shared" ref="F5:F12" si="7">SUMIF(B:B,"*"&amp;E5&amp;"*",C:C)</f>
        <v>102.3683333</v>
      </c>
      <c r="G5" s="28"/>
      <c r="K5" s="1" t="s">
        <v>62</v>
      </c>
      <c r="L5" s="5">
        <f t="shared" si="2"/>
        <v>5.72</v>
      </c>
      <c r="N5" s="39">
        <v>45842.0</v>
      </c>
      <c r="O5" s="40">
        <f t="shared" si="5"/>
        <v>62.81</v>
      </c>
      <c r="P5" s="5">
        <f t="shared" si="6"/>
        <v>236.2583333</v>
      </c>
      <c r="Q5" s="5">
        <f t="shared" si="3"/>
        <v>59.06458333</v>
      </c>
      <c r="R5" s="9">
        <f t="shared" si="4"/>
        <v>1831.002083</v>
      </c>
    </row>
    <row r="6">
      <c r="A6" s="39">
        <v>45839.0</v>
      </c>
      <c r="B6" s="4" t="s">
        <v>67</v>
      </c>
      <c r="C6" s="21">
        <v>21.99</v>
      </c>
      <c r="E6" s="1" t="s">
        <v>64</v>
      </c>
      <c r="F6" s="5">
        <f t="shared" si="7"/>
        <v>155.29</v>
      </c>
      <c r="G6" s="28"/>
      <c r="H6" s="1" t="s">
        <v>65</v>
      </c>
      <c r="I6" s="21">
        <v>5189.63</v>
      </c>
      <c r="K6" s="1" t="s">
        <v>66</v>
      </c>
      <c r="L6" s="5">
        <f t="shared" si="2"/>
        <v>73.89</v>
      </c>
      <c r="N6" s="39">
        <v>45843.0</v>
      </c>
      <c r="O6" s="40">
        <f t="shared" si="5"/>
        <v>56.98</v>
      </c>
      <c r="P6" s="5">
        <f t="shared" si="6"/>
        <v>293.2383333</v>
      </c>
      <c r="Q6" s="5">
        <f t="shared" si="3"/>
        <v>58.64766667</v>
      </c>
      <c r="R6" s="9">
        <f t="shared" si="4"/>
        <v>1818.077667</v>
      </c>
    </row>
    <row r="7">
      <c r="A7" s="39">
        <v>45839.0</v>
      </c>
      <c r="B7" s="4" t="s">
        <v>183</v>
      </c>
      <c r="C7" s="21">
        <f>99/12</f>
        <v>8.25</v>
      </c>
      <c r="E7" s="1" t="s">
        <v>54</v>
      </c>
      <c r="F7" s="5">
        <f t="shared" si="7"/>
        <v>1017.05</v>
      </c>
      <c r="G7" s="28"/>
      <c r="H7" s="1" t="s">
        <v>68</v>
      </c>
      <c r="I7" s="5">
        <f>sum(C:C)</f>
        <v>5656.748333</v>
      </c>
      <c r="K7" s="1" t="s">
        <v>69</v>
      </c>
      <c r="L7" s="5">
        <f t="shared" si="2"/>
        <v>0</v>
      </c>
      <c r="N7" s="39">
        <v>45844.0</v>
      </c>
      <c r="O7" s="40">
        <f t="shared" si="5"/>
        <v>25.71</v>
      </c>
      <c r="P7" s="5">
        <f t="shared" si="6"/>
        <v>318.9483333</v>
      </c>
      <c r="Q7" s="5">
        <f t="shared" si="3"/>
        <v>53.15805556</v>
      </c>
      <c r="R7" s="9">
        <f t="shared" si="4"/>
        <v>1647.899722</v>
      </c>
    </row>
    <row r="8">
      <c r="A8" s="39">
        <v>45839.0</v>
      </c>
      <c r="B8" s="4" t="s">
        <v>64</v>
      </c>
      <c r="C8" s="21">
        <v>45.49</v>
      </c>
      <c r="E8" s="1" t="s">
        <v>127</v>
      </c>
      <c r="F8" s="5">
        <f t="shared" si="7"/>
        <v>83.5</v>
      </c>
      <c r="G8" s="28"/>
      <c r="H8" s="1" t="s">
        <v>72</v>
      </c>
      <c r="I8" s="5">
        <f>sum(F:F)+I2+C2</f>
        <v>5361.378333</v>
      </c>
      <c r="N8" s="39">
        <v>45845.0</v>
      </c>
      <c r="O8" s="40">
        <f t="shared" si="5"/>
        <v>23.57</v>
      </c>
      <c r="P8" s="5">
        <f t="shared" si="6"/>
        <v>342.5183333</v>
      </c>
      <c r="Q8" s="5">
        <f t="shared" si="3"/>
        <v>48.93119048</v>
      </c>
      <c r="R8" s="9">
        <f t="shared" si="4"/>
        <v>1516.866905</v>
      </c>
    </row>
    <row r="9">
      <c r="A9" s="39">
        <v>45839.0</v>
      </c>
      <c r="B9" s="4" t="s">
        <v>193</v>
      </c>
      <c r="C9" s="21">
        <f>164.5/12</f>
        <v>13.70833333</v>
      </c>
      <c r="E9" s="1" t="s">
        <v>73</v>
      </c>
      <c r="F9" s="5">
        <f t="shared" si="7"/>
        <v>11.91</v>
      </c>
      <c r="G9" s="28"/>
      <c r="H9" s="1" t="s">
        <v>74</v>
      </c>
      <c r="I9" s="5">
        <f>I7-I8</f>
        <v>295.37</v>
      </c>
      <c r="J9" s="28"/>
      <c r="N9" s="39">
        <v>45846.0</v>
      </c>
      <c r="O9" s="40">
        <f t="shared" si="5"/>
        <v>15.08</v>
      </c>
      <c r="P9" s="5">
        <f t="shared" si="6"/>
        <v>357.5983333</v>
      </c>
      <c r="Q9" s="5">
        <f t="shared" si="3"/>
        <v>44.69979167</v>
      </c>
      <c r="R9" s="9">
        <f t="shared" si="4"/>
        <v>1385.693542</v>
      </c>
    </row>
    <row r="10">
      <c r="A10" s="39">
        <v>45840.0</v>
      </c>
      <c r="B10" s="4" t="s">
        <v>144</v>
      </c>
      <c r="C10" s="21">
        <v>8.1</v>
      </c>
      <c r="E10" s="1" t="s">
        <v>75</v>
      </c>
      <c r="F10" s="5">
        <f t="shared" si="7"/>
        <v>29.99</v>
      </c>
      <c r="G10" s="28"/>
      <c r="J10" s="28"/>
      <c r="N10" s="39">
        <v>45847.0</v>
      </c>
      <c r="O10" s="40">
        <f t="shared" si="5"/>
        <v>53.09</v>
      </c>
      <c r="P10" s="5">
        <f t="shared" si="6"/>
        <v>410.6883333</v>
      </c>
      <c r="Q10" s="5">
        <f t="shared" si="3"/>
        <v>45.63203704</v>
      </c>
      <c r="R10" s="9">
        <f t="shared" si="4"/>
        <v>1414.593148</v>
      </c>
    </row>
    <row r="11">
      <c r="A11" s="39">
        <v>45840.0</v>
      </c>
      <c r="B11" s="4" t="s">
        <v>194</v>
      </c>
      <c r="C11" s="21">
        <v>11.0</v>
      </c>
      <c r="E11" s="1" t="s">
        <v>76</v>
      </c>
      <c r="F11" s="5">
        <f t="shared" si="7"/>
        <v>4.83</v>
      </c>
      <c r="G11" s="28"/>
      <c r="H11" s="1" t="s">
        <v>3</v>
      </c>
      <c r="I11" s="28">
        <f>I4/I6</f>
        <v>0.4880659443</v>
      </c>
      <c r="J11" s="28"/>
      <c r="N11" s="39">
        <v>45848.0</v>
      </c>
      <c r="O11" s="40">
        <f t="shared" si="5"/>
        <v>70.38</v>
      </c>
      <c r="P11" s="5">
        <f t="shared" si="6"/>
        <v>481.0683333</v>
      </c>
      <c r="Q11" s="5">
        <f t="shared" si="3"/>
        <v>48.10683333</v>
      </c>
      <c r="R11" s="9">
        <f t="shared" si="4"/>
        <v>1491.311833</v>
      </c>
    </row>
    <row r="12">
      <c r="A12" s="39">
        <v>45840.0</v>
      </c>
      <c r="B12" s="4" t="s">
        <v>76</v>
      </c>
      <c r="C12" s="21">
        <v>0.99</v>
      </c>
      <c r="E12" s="1" t="s">
        <v>77</v>
      </c>
      <c r="F12" s="5">
        <f t="shared" si="7"/>
        <v>0</v>
      </c>
      <c r="G12" s="28"/>
      <c r="J12" s="28"/>
      <c r="N12" s="39">
        <v>45849.0</v>
      </c>
      <c r="O12" s="40">
        <f t="shared" si="5"/>
        <v>13.87</v>
      </c>
      <c r="P12" s="5">
        <f t="shared" si="6"/>
        <v>494.9383333</v>
      </c>
      <c r="Q12" s="5">
        <f t="shared" si="3"/>
        <v>44.99439394</v>
      </c>
      <c r="R12" s="9">
        <f t="shared" si="4"/>
        <v>1394.826212</v>
      </c>
    </row>
    <row r="13">
      <c r="A13" s="39">
        <v>45840.0</v>
      </c>
      <c r="B13" s="4" t="s">
        <v>47</v>
      </c>
      <c r="C13" s="21">
        <v>12.72</v>
      </c>
      <c r="G13" s="28"/>
      <c r="J13" s="28"/>
      <c r="N13" s="39">
        <v>45850.0</v>
      </c>
      <c r="O13" s="40">
        <f t="shared" si="5"/>
        <v>69.98</v>
      </c>
      <c r="P13" s="5">
        <f t="shared" si="6"/>
        <v>564.9183333</v>
      </c>
      <c r="Q13" s="5">
        <f t="shared" si="3"/>
        <v>47.07652778</v>
      </c>
      <c r="R13" s="9">
        <f t="shared" si="4"/>
        <v>1459.372361</v>
      </c>
    </row>
    <row r="14">
      <c r="A14" s="39">
        <v>45840.0</v>
      </c>
      <c r="B14" s="4" t="s">
        <v>127</v>
      </c>
      <c r="C14" s="21">
        <v>7.0</v>
      </c>
      <c r="G14" s="28"/>
      <c r="H14" s="19"/>
      <c r="J14" s="28"/>
      <c r="N14" s="39">
        <v>45851.0</v>
      </c>
      <c r="O14" s="40">
        <f t="shared" si="5"/>
        <v>47.08</v>
      </c>
      <c r="P14" s="5">
        <f t="shared" si="6"/>
        <v>611.9983333</v>
      </c>
      <c r="Q14" s="5">
        <f t="shared" si="3"/>
        <v>47.07679487</v>
      </c>
      <c r="R14" s="9">
        <f t="shared" si="4"/>
        <v>1459.380641</v>
      </c>
    </row>
    <row r="15">
      <c r="A15" s="39">
        <v>45841.0</v>
      </c>
      <c r="B15" s="4" t="s">
        <v>195</v>
      </c>
      <c r="C15" s="21">
        <v>4.5</v>
      </c>
      <c r="E15" s="1"/>
      <c r="H15" s="1"/>
      <c r="J15" s="28"/>
      <c r="N15" s="39">
        <v>45852.0</v>
      </c>
      <c r="O15" s="40">
        <f t="shared" si="5"/>
        <v>0</v>
      </c>
      <c r="P15" s="5">
        <f t="shared" si="6"/>
        <v>611.9983333</v>
      </c>
      <c r="Q15" s="5">
        <f t="shared" si="3"/>
        <v>43.71416667</v>
      </c>
      <c r="R15" s="9">
        <f t="shared" si="4"/>
        <v>1355.139167</v>
      </c>
    </row>
    <row r="16">
      <c r="A16" s="39">
        <v>45841.0</v>
      </c>
      <c r="B16" s="4" t="s">
        <v>93</v>
      </c>
      <c r="C16" s="21">
        <v>19.7</v>
      </c>
      <c r="H16" s="19"/>
      <c r="J16" s="28"/>
      <c r="N16" s="39">
        <v>45853.0</v>
      </c>
      <c r="O16" s="40">
        <f t="shared" si="5"/>
        <v>134.79</v>
      </c>
      <c r="P16" s="5">
        <f t="shared" si="6"/>
        <v>746.7883333</v>
      </c>
      <c r="Q16" s="5">
        <f t="shared" si="3"/>
        <v>49.78588889</v>
      </c>
      <c r="R16" s="9">
        <f t="shared" si="4"/>
        <v>1543.362556</v>
      </c>
    </row>
    <row r="17">
      <c r="A17" s="39">
        <v>45841.0</v>
      </c>
      <c r="B17" s="4" t="s">
        <v>196</v>
      </c>
      <c r="C17" s="21">
        <v>13.0</v>
      </c>
      <c r="H17" s="19"/>
      <c r="J17" s="28"/>
      <c r="N17" s="39">
        <v>45854.0</v>
      </c>
      <c r="O17" s="40">
        <f t="shared" si="5"/>
        <v>55.04</v>
      </c>
      <c r="P17" s="5">
        <f t="shared" si="6"/>
        <v>801.8283333</v>
      </c>
      <c r="Q17" s="5">
        <f t="shared" si="3"/>
        <v>50.11427083</v>
      </c>
      <c r="R17" s="9">
        <f t="shared" si="4"/>
        <v>1553.542396</v>
      </c>
    </row>
    <row r="18">
      <c r="A18" s="39">
        <v>45842.0</v>
      </c>
      <c r="B18" s="4" t="s">
        <v>127</v>
      </c>
      <c r="C18" s="21">
        <v>5.8</v>
      </c>
      <c r="H18" s="19"/>
      <c r="J18" s="28"/>
      <c r="N18" s="39">
        <v>45855.0</v>
      </c>
      <c r="O18" s="40">
        <f t="shared" si="5"/>
        <v>188.14</v>
      </c>
      <c r="P18" s="5">
        <f t="shared" si="6"/>
        <v>989.9683333</v>
      </c>
      <c r="Q18" s="5">
        <f t="shared" si="3"/>
        <v>58.23343137</v>
      </c>
      <c r="R18" s="9">
        <f t="shared" si="4"/>
        <v>1805.236373</v>
      </c>
    </row>
    <row r="19">
      <c r="A19" s="39">
        <v>45842.0</v>
      </c>
      <c r="B19" s="4" t="s">
        <v>93</v>
      </c>
      <c r="C19" s="21">
        <v>27.61</v>
      </c>
      <c r="H19" s="19"/>
      <c r="J19" s="28"/>
      <c r="N19" s="39">
        <v>45856.0</v>
      </c>
      <c r="O19" s="40">
        <f t="shared" si="5"/>
        <v>48.54</v>
      </c>
      <c r="P19" s="5">
        <f t="shared" si="6"/>
        <v>1038.508333</v>
      </c>
      <c r="Q19" s="5">
        <f t="shared" si="3"/>
        <v>57.69490741</v>
      </c>
      <c r="R19" s="9">
        <f t="shared" si="4"/>
        <v>1788.54213</v>
      </c>
    </row>
    <row r="20">
      <c r="A20" s="39">
        <v>45842.0</v>
      </c>
      <c r="B20" s="4" t="s">
        <v>66</v>
      </c>
      <c r="C20" s="21">
        <v>1.65</v>
      </c>
      <c r="H20" s="19"/>
      <c r="J20" s="28"/>
      <c r="N20" s="39">
        <v>45857.0</v>
      </c>
      <c r="O20" s="40">
        <f t="shared" si="5"/>
        <v>22.32</v>
      </c>
      <c r="P20" s="5">
        <f t="shared" si="6"/>
        <v>1060.828333</v>
      </c>
      <c r="Q20" s="5">
        <f t="shared" si="3"/>
        <v>55.83307018</v>
      </c>
      <c r="R20" s="9">
        <f t="shared" si="4"/>
        <v>1730.825175</v>
      </c>
    </row>
    <row r="21">
      <c r="A21" s="39">
        <v>45842.0</v>
      </c>
      <c r="B21" s="4" t="s">
        <v>45</v>
      </c>
      <c r="C21" s="21">
        <f>18.75+9</f>
        <v>27.75</v>
      </c>
      <c r="E21" s="19"/>
      <c r="F21" s="5"/>
      <c r="H21" s="19"/>
      <c r="J21" s="28"/>
      <c r="N21" s="39">
        <v>45858.0</v>
      </c>
      <c r="O21" s="40">
        <f t="shared" si="5"/>
        <v>41.03</v>
      </c>
      <c r="P21" s="5">
        <f t="shared" si="6"/>
        <v>1101.858333</v>
      </c>
      <c r="Q21" s="5">
        <f t="shared" si="3"/>
        <v>55.09291667</v>
      </c>
      <c r="R21" s="9">
        <f t="shared" si="4"/>
        <v>1707.880417</v>
      </c>
    </row>
    <row r="22">
      <c r="A22" s="39">
        <v>45843.0</v>
      </c>
      <c r="B22" s="4" t="s">
        <v>59</v>
      </c>
      <c r="C22" s="21">
        <v>27.3</v>
      </c>
      <c r="E22" s="19"/>
      <c r="F22" s="5"/>
      <c r="H22" s="19"/>
      <c r="J22" s="28"/>
      <c r="N22" s="39">
        <v>45859.0</v>
      </c>
      <c r="O22" s="40">
        <f t="shared" si="5"/>
        <v>6.1</v>
      </c>
      <c r="P22" s="5">
        <f t="shared" si="6"/>
        <v>1107.958333</v>
      </c>
      <c r="Q22" s="5">
        <f t="shared" si="3"/>
        <v>52.75992063</v>
      </c>
      <c r="R22" s="9">
        <f t="shared" si="4"/>
        <v>1635.55754</v>
      </c>
    </row>
    <row r="23">
      <c r="A23" s="39">
        <v>45843.0</v>
      </c>
      <c r="B23" s="4" t="s">
        <v>52</v>
      </c>
      <c r="C23" s="21">
        <v>29.68</v>
      </c>
      <c r="E23" s="19"/>
      <c r="F23" s="5"/>
      <c r="H23" s="19"/>
      <c r="N23" s="39">
        <v>45860.0</v>
      </c>
      <c r="O23" s="40">
        <f t="shared" si="5"/>
        <v>41.9</v>
      </c>
      <c r="P23" s="5">
        <f t="shared" si="6"/>
        <v>1149.858333</v>
      </c>
      <c r="Q23" s="5">
        <f t="shared" si="3"/>
        <v>52.26628788</v>
      </c>
      <c r="R23" s="9">
        <f t="shared" si="4"/>
        <v>1620.254924</v>
      </c>
    </row>
    <row r="24">
      <c r="A24" s="39">
        <v>45844.0</v>
      </c>
      <c r="B24" s="4" t="s">
        <v>52</v>
      </c>
      <c r="C24" s="21">
        <v>25.71</v>
      </c>
      <c r="F24" s="5"/>
      <c r="H24" s="19"/>
      <c r="N24" s="39">
        <v>45861.0</v>
      </c>
      <c r="O24" s="40">
        <f t="shared" si="5"/>
        <v>7.93</v>
      </c>
      <c r="P24" s="5">
        <f t="shared" si="6"/>
        <v>1157.788333</v>
      </c>
      <c r="Q24" s="5">
        <f t="shared" si="3"/>
        <v>50.33862319</v>
      </c>
      <c r="R24" s="9">
        <f t="shared" si="4"/>
        <v>1560.497319</v>
      </c>
    </row>
    <row r="25">
      <c r="A25" s="39">
        <v>45845.0</v>
      </c>
      <c r="B25" s="4" t="s">
        <v>47</v>
      </c>
      <c r="C25" s="21">
        <v>23.57</v>
      </c>
      <c r="F25" s="5"/>
      <c r="H25" s="19"/>
      <c r="N25" s="39">
        <v>45862.0</v>
      </c>
      <c r="O25" s="40">
        <f t="shared" si="5"/>
        <v>24.38</v>
      </c>
      <c r="P25" s="5">
        <f t="shared" si="6"/>
        <v>1182.168333</v>
      </c>
      <c r="Q25" s="5">
        <f t="shared" si="3"/>
        <v>49.25701389</v>
      </c>
      <c r="R25" s="9">
        <f t="shared" si="4"/>
        <v>1526.967431</v>
      </c>
    </row>
    <row r="26">
      <c r="A26" s="39">
        <v>45846.0</v>
      </c>
      <c r="B26" s="4" t="s">
        <v>59</v>
      </c>
      <c r="C26" s="21">
        <v>15.08</v>
      </c>
      <c r="F26" s="5"/>
      <c r="H26" s="19"/>
      <c r="N26" s="39">
        <v>45863.0</v>
      </c>
      <c r="O26" s="40">
        <f t="shared" si="5"/>
        <v>108.09</v>
      </c>
      <c r="P26" s="5">
        <f t="shared" si="6"/>
        <v>1290.258333</v>
      </c>
      <c r="Q26" s="5">
        <f t="shared" si="3"/>
        <v>51.61033333</v>
      </c>
      <c r="R26" s="9">
        <f t="shared" si="4"/>
        <v>1599.920333</v>
      </c>
    </row>
    <row r="27">
      <c r="A27" s="39">
        <v>45847.0</v>
      </c>
      <c r="B27" s="4" t="s">
        <v>194</v>
      </c>
      <c r="C27" s="21">
        <v>12.0</v>
      </c>
      <c r="F27" s="5"/>
      <c r="H27" s="19"/>
      <c r="N27" s="39">
        <v>45864.0</v>
      </c>
      <c r="O27" s="40">
        <f t="shared" si="5"/>
        <v>35.04</v>
      </c>
      <c r="P27" s="5">
        <f t="shared" si="6"/>
        <v>1325.298333</v>
      </c>
      <c r="Q27" s="5">
        <f t="shared" si="3"/>
        <v>50.97301282</v>
      </c>
      <c r="R27" s="9">
        <f t="shared" si="4"/>
        <v>1580.163397</v>
      </c>
    </row>
    <row r="28">
      <c r="A28" s="39">
        <v>45847.0</v>
      </c>
      <c r="B28" s="4" t="s">
        <v>110</v>
      </c>
      <c r="C28" s="21">
        <v>36.0</v>
      </c>
      <c r="F28" s="5"/>
      <c r="H28" s="19"/>
      <c r="N28" s="39">
        <v>45865.0</v>
      </c>
      <c r="O28" s="40">
        <f t="shared" si="5"/>
        <v>28.2</v>
      </c>
      <c r="P28" s="5">
        <f t="shared" si="6"/>
        <v>1353.498333</v>
      </c>
      <c r="Q28" s="5">
        <f t="shared" si="3"/>
        <v>50.1295679</v>
      </c>
      <c r="R28" s="9">
        <f t="shared" si="4"/>
        <v>1554.016605</v>
      </c>
    </row>
    <row r="29">
      <c r="A29" s="39">
        <v>45847.0</v>
      </c>
      <c r="B29" s="4" t="s">
        <v>82</v>
      </c>
      <c r="C29" s="21">
        <v>5.09</v>
      </c>
      <c r="F29" s="5"/>
      <c r="H29" s="19"/>
      <c r="N29" s="39">
        <v>45866.0</v>
      </c>
      <c r="O29" s="40">
        <f t="shared" si="5"/>
        <v>84.4</v>
      </c>
      <c r="P29" s="5">
        <f t="shared" si="6"/>
        <v>1437.898333</v>
      </c>
      <c r="Q29" s="5">
        <f t="shared" si="3"/>
        <v>51.3535119</v>
      </c>
      <c r="R29" s="9">
        <f t="shared" si="4"/>
        <v>1591.958869</v>
      </c>
    </row>
    <row r="30">
      <c r="A30" s="39">
        <v>45848.0</v>
      </c>
      <c r="B30" s="4" t="s">
        <v>45</v>
      </c>
      <c r="C30" s="21">
        <f>20.1+13.7+6.85</f>
        <v>40.65</v>
      </c>
      <c r="F30" s="5"/>
      <c r="H30" s="19"/>
      <c r="N30" s="39">
        <v>45867.0</v>
      </c>
      <c r="O30" s="40">
        <f t="shared" si="5"/>
        <v>48.9</v>
      </c>
      <c r="P30" s="5">
        <f t="shared" si="6"/>
        <v>1486.798333</v>
      </c>
      <c r="Q30" s="5">
        <f t="shared" si="3"/>
        <v>51.26890805</v>
      </c>
      <c r="R30" s="9">
        <f t="shared" si="4"/>
        <v>1589.336149</v>
      </c>
    </row>
    <row r="31">
      <c r="A31" s="39">
        <v>45848.0</v>
      </c>
      <c r="B31" s="4" t="s">
        <v>47</v>
      </c>
      <c r="C31" s="21">
        <v>10.0</v>
      </c>
      <c r="E31" s="19"/>
      <c r="F31" s="5"/>
      <c r="H31" s="19"/>
      <c r="N31" s="39">
        <v>45868.0</v>
      </c>
      <c r="O31" s="40">
        <f t="shared" si="5"/>
        <v>25.63</v>
      </c>
      <c r="P31" s="5">
        <f t="shared" si="6"/>
        <v>1512.428333</v>
      </c>
      <c r="Q31" s="5">
        <f t="shared" si="3"/>
        <v>50.41427778</v>
      </c>
      <c r="R31" s="9">
        <f t="shared" si="4"/>
        <v>1562.842611</v>
      </c>
    </row>
    <row r="32">
      <c r="A32" s="39">
        <v>45848.0</v>
      </c>
      <c r="B32" s="4" t="s">
        <v>47</v>
      </c>
      <c r="C32" s="21">
        <v>3.95</v>
      </c>
      <c r="E32" s="19"/>
      <c r="F32" s="5"/>
      <c r="H32" s="19"/>
      <c r="N32" s="39">
        <v>45869.0</v>
      </c>
      <c r="O32" s="40">
        <f t="shared" si="5"/>
        <v>134.27</v>
      </c>
      <c r="P32" s="5">
        <f t="shared" si="6"/>
        <v>1646.698333</v>
      </c>
      <c r="Q32" s="5">
        <f t="shared" si="3"/>
        <v>53.11930108</v>
      </c>
      <c r="R32" s="9">
        <f t="shared" si="4"/>
        <v>1646.698333</v>
      </c>
    </row>
    <row r="33">
      <c r="A33" s="39">
        <v>45848.0</v>
      </c>
      <c r="B33" s="4" t="s">
        <v>57</v>
      </c>
      <c r="C33" s="21">
        <v>7.78</v>
      </c>
      <c r="E33" s="19"/>
      <c r="F33" s="5"/>
      <c r="H33" s="19"/>
      <c r="N33" s="39"/>
      <c r="Q33" s="5"/>
      <c r="R33" s="9"/>
    </row>
    <row r="34">
      <c r="A34" s="39">
        <v>45848.0</v>
      </c>
      <c r="B34" s="4" t="s">
        <v>197</v>
      </c>
      <c r="C34" s="21">
        <v>8.0</v>
      </c>
      <c r="E34" s="19"/>
      <c r="F34" s="5"/>
      <c r="H34" s="19"/>
      <c r="Q34" s="5"/>
      <c r="R34" s="9"/>
    </row>
    <row r="35">
      <c r="A35" s="39">
        <v>45849.0</v>
      </c>
      <c r="B35" s="4" t="s">
        <v>47</v>
      </c>
      <c r="C35" s="21">
        <v>6.17</v>
      </c>
      <c r="E35" s="19"/>
      <c r="F35" s="5"/>
      <c r="H35" s="19"/>
      <c r="Q35" s="5"/>
      <c r="R35" s="9"/>
    </row>
    <row r="36">
      <c r="A36" s="39">
        <v>45849.0</v>
      </c>
      <c r="B36" s="4" t="s">
        <v>66</v>
      </c>
      <c r="C36" s="21">
        <v>7.7</v>
      </c>
      <c r="E36" s="19"/>
      <c r="F36" s="5"/>
      <c r="H36" s="19"/>
      <c r="Q36" s="5"/>
      <c r="R36" s="9"/>
    </row>
    <row r="37">
      <c r="A37" s="39">
        <v>45850.0</v>
      </c>
      <c r="B37" s="4" t="s">
        <v>45</v>
      </c>
      <c r="C37" s="21">
        <v>16.25</v>
      </c>
      <c r="E37" s="19"/>
      <c r="F37" s="5"/>
      <c r="H37" s="19"/>
      <c r="Q37" s="5"/>
      <c r="R37" s="9"/>
    </row>
    <row r="38">
      <c r="A38" s="39">
        <v>45850.0</v>
      </c>
      <c r="B38" s="4" t="s">
        <v>47</v>
      </c>
      <c r="C38" s="21">
        <v>11.3</v>
      </c>
      <c r="E38" s="19"/>
      <c r="F38" s="5"/>
      <c r="H38" s="19"/>
      <c r="Q38" s="5"/>
      <c r="R38" s="9"/>
    </row>
    <row r="39">
      <c r="A39" s="39">
        <v>45850.0</v>
      </c>
      <c r="B39" s="4" t="s">
        <v>57</v>
      </c>
      <c r="C39" s="21">
        <v>5.2</v>
      </c>
      <c r="E39" s="19"/>
      <c r="F39" s="5"/>
      <c r="H39" s="19"/>
      <c r="Q39" s="5"/>
      <c r="R39" s="9"/>
    </row>
    <row r="40">
      <c r="A40" s="39">
        <v>45850.0</v>
      </c>
      <c r="B40" s="4" t="s">
        <v>57</v>
      </c>
      <c r="C40" s="21">
        <v>23.22</v>
      </c>
      <c r="E40" s="19"/>
      <c r="F40" s="5"/>
      <c r="H40" s="19"/>
      <c r="Q40" s="5"/>
      <c r="R40" s="9"/>
    </row>
    <row r="41">
      <c r="A41" s="39">
        <v>45850.0</v>
      </c>
      <c r="B41" s="4" t="s">
        <v>73</v>
      </c>
      <c r="C41" s="21">
        <v>11.91</v>
      </c>
      <c r="E41" s="19"/>
      <c r="F41" s="5"/>
      <c r="H41" s="19"/>
      <c r="Q41" s="5"/>
      <c r="R41" s="9"/>
    </row>
    <row r="42">
      <c r="A42" s="39">
        <v>45850.0</v>
      </c>
      <c r="B42" s="4" t="s">
        <v>127</v>
      </c>
      <c r="C42" s="21">
        <v>2.1</v>
      </c>
      <c r="E42" s="19"/>
      <c r="F42" s="5"/>
      <c r="H42" s="19"/>
      <c r="Q42" s="5"/>
      <c r="R42" s="9"/>
    </row>
    <row r="43">
      <c r="A43" s="39">
        <v>45851.0</v>
      </c>
      <c r="B43" s="4" t="s">
        <v>45</v>
      </c>
      <c r="C43" s="4">
        <v>9.28</v>
      </c>
      <c r="E43" s="19"/>
      <c r="F43" s="5"/>
      <c r="H43" s="19"/>
      <c r="Q43" s="5"/>
      <c r="R43" s="9"/>
    </row>
    <row r="44">
      <c r="A44" s="39">
        <v>45851.0</v>
      </c>
      <c r="B44" s="4" t="s">
        <v>45</v>
      </c>
      <c r="C44" s="21">
        <f>5+11+7.6</f>
        <v>23.6</v>
      </c>
      <c r="E44" s="19"/>
      <c r="F44" s="5"/>
      <c r="H44" s="19"/>
      <c r="Q44" s="5"/>
      <c r="R44" s="9"/>
    </row>
    <row r="45">
      <c r="A45" s="39">
        <v>45851.0</v>
      </c>
      <c r="B45" s="4" t="s">
        <v>52</v>
      </c>
      <c r="C45" s="21">
        <v>10.0</v>
      </c>
      <c r="E45" s="19"/>
      <c r="F45" s="5"/>
      <c r="H45" s="19"/>
      <c r="Q45" s="5"/>
      <c r="R45" s="9"/>
    </row>
    <row r="46">
      <c r="A46" s="39">
        <v>45851.0</v>
      </c>
      <c r="B46" s="4" t="s">
        <v>127</v>
      </c>
      <c r="C46" s="21">
        <v>4.2</v>
      </c>
      <c r="E46" s="19"/>
      <c r="F46" s="5"/>
      <c r="H46" s="19"/>
      <c r="Q46" s="5"/>
      <c r="R46" s="9"/>
    </row>
    <row r="47">
      <c r="A47" s="39">
        <v>45853.0</v>
      </c>
      <c r="B47" s="4" t="s">
        <v>47</v>
      </c>
      <c r="C47" s="21">
        <v>5.04</v>
      </c>
      <c r="E47" s="19"/>
      <c r="F47" s="5"/>
      <c r="H47" s="19"/>
      <c r="Q47" s="5"/>
      <c r="R47" s="9"/>
    </row>
    <row r="48">
      <c r="A48" s="39">
        <v>45853.0</v>
      </c>
      <c r="B48" s="4" t="s">
        <v>56</v>
      </c>
      <c r="C48" s="21">
        <v>14.15</v>
      </c>
      <c r="E48" s="19"/>
      <c r="F48" s="5"/>
      <c r="H48" s="19"/>
      <c r="Q48" s="5"/>
      <c r="R48" s="9"/>
    </row>
    <row r="49">
      <c r="A49" s="39">
        <v>45853.0</v>
      </c>
      <c r="B49" s="4" t="s">
        <v>127</v>
      </c>
      <c r="C49" s="21">
        <v>5.8</v>
      </c>
      <c r="E49" s="19"/>
      <c r="F49" s="5"/>
      <c r="H49" s="19"/>
      <c r="Q49" s="5"/>
      <c r="R49" s="9"/>
    </row>
    <row r="50">
      <c r="A50" s="39">
        <v>45853.0</v>
      </c>
      <c r="B50" s="4" t="s">
        <v>64</v>
      </c>
      <c r="C50" s="21">
        <f>149.7-39.9</f>
        <v>109.8</v>
      </c>
      <c r="E50" s="19"/>
      <c r="F50" s="5"/>
      <c r="H50" s="19"/>
      <c r="Q50" s="5"/>
      <c r="R50" s="9"/>
    </row>
    <row r="51">
      <c r="A51" s="39">
        <v>45854.0</v>
      </c>
      <c r="B51" s="4" t="s">
        <v>194</v>
      </c>
      <c r="C51" s="21">
        <v>14.4</v>
      </c>
      <c r="E51" s="19"/>
      <c r="F51" s="5"/>
      <c r="H51" s="19"/>
      <c r="Q51" s="5"/>
      <c r="R51" s="9"/>
    </row>
    <row r="52">
      <c r="A52" s="39">
        <v>45854.0</v>
      </c>
      <c r="B52" s="4" t="s">
        <v>76</v>
      </c>
      <c r="C52" s="21">
        <v>3.84</v>
      </c>
      <c r="E52" s="19"/>
      <c r="F52" s="5"/>
      <c r="H52" s="19"/>
      <c r="Q52" s="5"/>
      <c r="R52" s="9"/>
    </row>
    <row r="53">
      <c r="A53" s="39">
        <v>45854.0</v>
      </c>
      <c r="B53" s="4" t="s">
        <v>45</v>
      </c>
      <c r="C53" s="21">
        <f>14.7+15.1</f>
        <v>29.8</v>
      </c>
      <c r="E53" s="19"/>
      <c r="F53" s="5"/>
      <c r="H53" s="19"/>
      <c r="Q53" s="5"/>
      <c r="R53" s="9"/>
    </row>
    <row r="54">
      <c r="A54" s="39">
        <v>45854.0</v>
      </c>
      <c r="B54" s="4" t="s">
        <v>127</v>
      </c>
      <c r="C54" s="21">
        <v>7.0</v>
      </c>
      <c r="E54" s="19"/>
      <c r="F54" s="5"/>
      <c r="H54" s="19"/>
      <c r="Q54" s="5"/>
      <c r="R54" s="9"/>
    </row>
    <row r="55">
      <c r="A55" s="39">
        <v>45855.0</v>
      </c>
      <c r="B55" s="4" t="s">
        <v>198</v>
      </c>
      <c r="C55" s="21">
        <v>35.61</v>
      </c>
      <c r="E55" s="19"/>
      <c r="F55" s="5"/>
      <c r="H55" s="19"/>
      <c r="Q55" s="5"/>
      <c r="R55" s="9"/>
    </row>
    <row r="56">
      <c r="A56" s="39">
        <v>45855.0</v>
      </c>
      <c r="B56" s="4" t="s">
        <v>199</v>
      </c>
      <c r="C56" s="21">
        <v>42.98</v>
      </c>
      <c r="E56" s="19"/>
      <c r="F56" s="5"/>
      <c r="H56" s="19"/>
      <c r="Q56" s="5"/>
      <c r="R56" s="9"/>
    </row>
    <row r="57">
      <c r="A57" s="39">
        <v>45855.0</v>
      </c>
      <c r="B57" s="4" t="s">
        <v>200</v>
      </c>
      <c r="C57" s="21">
        <v>94.0</v>
      </c>
      <c r="E57" s="19"/>
      <c r="F57" s="5"/>
      <c r="H57" s="19"/>
      <c r="Q57" s="5"/>
      <c r="R57" s="9"/>
    </row>
    <row r="58">
      <c r="A58" s="39">
        <v>45855.0</v>
      </c>
      <c r="B58" s="4" t="s">
        <v>168</v>
      </c>
      <c r="C58" s="21">
        <v>5.8</v>
      </c>
      <c r="E58" s="19"/>
      <c r="F58" s="5"/>
      <c r="H58" s="19"/>
      <c r="Q58" s="5"/>
      <c r="R58" s="9"/>
    </row>
    <row r="59">
      <c r="A59" s="39">
        <v>45855.0</v>
      </c>
      <c r="B59" s="4" t="s">
        <v>45</v>
      </c>
      <c r="C59" s="21">
        <f>5.8+3.95</f>
        <v>9.75</v>
      </c>
      <c r="E59" s="19"/>
      <c r="F59" s="5"/>
      <c r="H59" s="19"/>
      <c r="Q59" s="5"/>
      <c r="R59" s="9"/>
    </row>
    <row r="60">
      <c r="A60" s="39">
        <v>45856.0</v>
      </c>
      <c r="B60" s="4" t="s">
        <v>45</v>
      </c>
      <c r="C60" s="21">
        <v>13.6</v>
      </c>
      <c r="E60" s="19"/>
      <c r="F60" s="5"/>
      <c r="H60" s="19"/>
      <c r="Q60" s="5"/>
      <c r="R60" s="9"/>
    </row>
    <row r="61">
      <c r="A61" s="39">
        <v>45856.0</v>
      </c>
      <c r="B61" s="4" t="s">
        <v>55</v>
      </c>
      <c r="C61" s="21">
        <v>19.45</v>
      </c>
      <c r="E61" s="19"/>
      <c r="F61" s="5"/>
      <c r="H61" s="19"/>
      <c r="Q61" s="5"/>
      <c r="R61" s="9"/>
    </row>
    <row r="62">
      <c r="A62" s="39">
        <v>45856.0</v>
      </c>
      <c r="B62" s="4" t="s">
        <v>45</v>
      </c>
      <c r="C62" s="21">
        <v>15.49</v>
      </c>
      <c r="E62" s="19"/>
      <c r="F62" s="5"/>
      <c r="H62" s="19"/>
      <c r="Q62" s="5"/>
      <c r="R62" s="9"/>
    </row>
    <row r="63">
      <c r="A63" s="39">
        <v>45857.0</v>
      </c>
      <c r="B63" s="4" t="s">
        <v>52</v>
      </c>
      <c r="C63" s="21">
        <v>16.33</v>
      </c>
      <c r="E63" s="19"/>
      <c r="F63" s="5"/>
      <c r="H63" s="19"/>
      <c r="Q63" s="5"/>
      <c r="R63" s="9"/>
    </row>
    <row r="64">
      <c r="A64" s="39">
        <v>45857.0</v>
      </c>
      <c r="B64" s="4" t="s">
        <v>100</v>
      </c>
      <c r="C64" s="21">
        <v>5.99</v>
      </c>
      <c r="E64" s="19"/>
      <c r="F64" s="5"/>
      <c r="H64" s="19"/>
      <c r="Q64" s="5"/>
      <c r="R64" s="9"/>
    </row>
    <row r="65">
      <c r="A65" s="39">
        <v>45858.0</v>
      </c>
      <c r="B65" s="4" t="s">
        <v>82</v>
      </c>
      <c r="C65" s="21">
        <v>12.99</v>
      </c>
      <c r="E65" s="19"/>
      <c r="F65" s="5"/>
      <c r="H65" s="19"/>
      <c r="Q65" s="5"/>
      <c r="R65" s="9"/>
    </row>
    <row r="66">
      <c r="A66" s="39">
        <v>45858.0</v>
      </c>
      <c r="B66" s="4" t="s">
        <v>201</v>
      </c>
      <c r="C66" s="21">
        <v>3.66</v>
      </c>
      <c r="E66" s="19"/>
      <c r="F66" s="5"/>
      <c r="H66" s="19"/>
      <c r="Q66" s="5"/>
      <c r="R66" s="9"/>
    </row>
    <row r="67">
      <c r="A67" s="39">
        <v>45858.0</v>
      </c>
      <c r="B67" s="4" t="s">
        <v>59</v>
      </c>
      <c r="C67" s="21">
        <v>24.38</v>
      </c>
      <c r="E67" s="19"/>
      <c r="F67" s="5"/>
      <c r="H67" s="19"/>
      <c r="Q67" s="5"/>
      <c r="R67" s="9"/>
    </row>
    <row r="68">
      <c r="A68" s="39">
        <v>45859.0</v>
      </c>
      <c r="B68" s="4" t="s">
        <v>108</v>
      </c>
      <c r="C68" s="21">
        <v>2.5</v>
      </c>
      <c r="E68" s="19"/>
      <c r="F68" s="5"/>
      <c r="H68" s="19"/>
      <c r="Q68" s="5"/>
      <c r="R68" s="9"/>
    </row>
    <row r="69">
      <c r="A69" s="39">
        <v>45859.0</v>
      </c>
      <c r="B69" s="4" t="s">
        <v>66</v>
      </c>
      <c r="C69" s="12">
        <v>3.6</v>
      </c>
      <c r="E69" s="19"/>
      <c r="F69" s="5"/>
      <c r="H69" s="19"/>
      <c r="Q69" s="5"/>
      <c r="R69" s="9"/>
    </row>
    <row r="70">
      <c r="A70" s="39">
        <v>45860.0</v>
      </c>
      <c r="B70" s="4" t="s">
        <v>59</v>
      </c>
      <c r="C70" s="21">
        <v>7.5</v>
      </c>
      <c r="E70" s="19"/>
      <c r="F70" s="5"/>
      <c r="H70" s="19"/>
      <c r="Q70" s="5"/>
      <c r="R70" s="9"/>
    </row>
    <row r="71">
      <c r="A71" s="39">
        <v>45860.0</v>
      </c>
      <c r="B71" s="4" t="s">
        <v>66</v>
      </c>
      <c r="C71" s="21">
        <v>13.4</v>
      </c>
      <c r="E71" s="19"/>
      <c r="F71" s="5"/>
      <c r="H71" s="19"/>
      <c r="Q71" s="5"/>
      <c r="R71" s="9"/>
    </row>
    <row r="72">
      <c r="A72" s="39">
        <v>45860.0</v>
      </c>
      <c r="B72" s="4" t="s">
        <v>202</v>
      </c>
      <c r="C72" s="21">
        <v>21.0</v>
      </c>
      <c r="E72" s="19"/>
      <c r="F72" s="5"/>
      <c r="H72" s="19"/>
      <c r="Q72" s="5"/>
      <c r="R72" s="9"/>
    </row>
    <row r="73">
      <c r="A73" s="39">
        <v>45861.0</v>
      </c>
      <c r="B73" s="4" t="s">
        <v>66</v>
      </c>
      <c r="C73" s="21">
        <v>2.04</v>
      </c>
      <c r="E73" s="19"/>
      <c r="F73" s="5"/>
      <c r="H73" s="19"/>
      <c r="Q73" s="5"/>
      <c r="R73" s="9"/>
    </row>
    <row r="74">
      <c r="A74" s="39">
        <v>45861.0</v>
      </c>
      <c r="B74" s="4" t="s">
        <v>203</v>
      </c>
      <c r="C74" s="21">
        <v>5.89</v>
      </c>
      <c r="E74" s="19"/>
      <c r="F74" s="5"/>
      <c r="H74" s="19"/>
      <c r="Q74" s="5"/>
      <c r="R74" s="9"/>
    </row>
    <row r="75">
      <c r="A75" s="39">
        <v>45862.0</v>
      </c>
      <c r="B75" s="4" t="s">
        <v>95</v>
      </c>
      <c r="C75" s="21">
        <v>5.98</v>
      </c>
      <c r="E75" s="19"/>
      <c r="F75" s="5"/>
      <c r="H75" s="19"/>
      <c r="Q75" s="5"/>
      <c r="R75" s="9"/>
    </row>
    <row r="76">
      <c r="A76" s="39">
        <v>45862.0</v>
      </c>
      <c r="B76" s="4" t="s">
        <v>194</v>
      </c>
      <c r="C76" s="21">
        <v>12.0</v>
      </c>
      <c r="E76" s="19"/>
      <c r="F76" s="5"/>
      <c r="H76" s="19"/>
      <c r="Q76" s="5"/>
      <c r="R76" s="9"/>
    </row>
    <row r="77">
      <c r="A77" s="39">
        <v>45862.0</v>
      </c>
      <c r="B77" s="4" t="s">
        <v>127</v>
      </c>
      <c r="C77" s="21">
        <v>6.4</v>
      </c>
      <c r="E77" s="19"/>
      <c r="F77" s="5"/>
      <c r="H77" s="19"/>
      <c r="Q77" s="5"/>
      <c r="R77" s="9"/>
    </row>
    <row r="78">
      <c r="A78" s="39">
        <v>45863.0</v>
      </c>
      <c r="B78" s="4" t="s">
        <v>204</v>
      </c>
      <c r="C78" s="43">
        <v>10.0</v>
      </c>
      <c r="E78" s="19"/>
      <c r="F78" s="5"/>
      <c r="H78" s="19"/>
      <c r="Q78" s="5"/>
      <c r="R78" s="9"/>
    </row>
    <row r="79">
      <c r="A79" s="39">
        <v>45863.0</v>
      </c>
      <c r="B79" s="4" t="s">
        <v>45</v>
      </c>
      <c r="C79" s="21">
        <v>7.0</v>
      </c>
      <c r="E79" s="19"/>
      <c r="F79" s="5"/>
      <c r="H79" s="19"/>
      <c r="Q79" s="5"/>
      <c r="R79" s="9"/>
    </row>
    <row r="80">
      <c r="A80" s="39">
        <v>45863.0</v>
      </c>
      <c r="B80" s="4" t="s">
        <v>45</v>
      </c>
      <c r="C80" s="21">
        <f>13.8+28.4+12</f>
        <v>54.2</v>
      </c>
      <c r="E80" s="19"/>
      <c r="F80" s="5"/>
      <c r="H80" s="19"/>
      <c r="Q80" s="5"/>
      <c r="R80" s="9"/>
    </row>
    <row r="81">
      <c r="A81" s="39">
        <v>45863.0</v>
      </c>
      <c r="B81" s="4" t="s">
        <v>127</v>
      </c>
      <c r="C81" s="21">
        <v>5.8</v>
      </c>
      <c r="E81" s="19"/>
      <c r="F81" s="5"/>
      <c r="H81" s="19"/>
      <c r="Q81" s="5"/>
      <c r="R81" s="9"/>
    </row>
    <row r="82">
      <c r="A82" s="39">
        <v>45863.0</v>
      </c>
      <c r="B82" s="4" t="s">
        <v>66</v>
      </c>
      <c r="C82" s="21">
        <v>11.1</v>
      </c>
      <c r="E82" s="19"/>
      <c r="F82" s="5"/>
      <c r="H82" s="19"/>
      <c r="Q82" s="5"/>
      <c r="R82" s="9"/>
    </row>
    <row r="83">
      <c r="A83" s="39">
        <v>45863.0</v>
      </c>
      <c r="B83" s="4" t="s">
        <v>93</v>
      </c>
      <c r="C83" s="21">
        <v>12.5</v>
      </c>
      <c r="E83" s="19"/>
      <c r="F83" s="5"/>
      <c r="H83" s="19"/>
      <c r="Q83" s="5"/>
      <c r="R83" s="9"/>
    </row>
    <row r="84">
      <c r="A84" s="39">
        <v>45863.0</v>
      </c>
      <c r="B84" s="4" t="s">
        <v>57</v>
      </c>
      <c r="C84" s="21">
        <v>7.49</v>
      </c>
      <c r="E84" s="19"/>
      <c r="F84" s="5"/>
      <c r="H84" s="19"/>
      <c r="Q84" s="5"/>
      <c r="R84" s="9"/>
    </row>
    <row r="85">
      <c r="A85" s="39">
        <v>45864.0</v>
      </c>
      <c r="B85" s="4" t="s">
        <v>66</v>
      </c>
      <c r="C85" s="21">
        <v>20.5</v>
      </c>
      <c r="E85" s="19"/>
      <c r="F85" s="5"/>
      <c r="H85" s="19"/>
      <c r="Q85" s="5"/>
      <c r="R85" s="9"/>
    </row>
    <row r="86">
      <c r="A86" s="39">
        <v>45864.0</v>
      </c>
      <c r="B86" s="4" t="s">
        <v>87</v>
      </c>
      <c r="C86" s="21">
        <v>8.74</v>
      </c>
      <c r="E86" s="19"/>
      <c r="F86" s="5"/>
      <c r="H86" s="19"/>
      <c r="Q86" s="5"/>
      <c r="R86" s="9"/>
    </row>
    <row r="87">
      <c r="A87" s="39">
        <v>45864.0</v>
      </c>
      <c r="B87" s="4" t="s">
        <v>127</v>
      </c>
      <c r="C87" s="21">
        <v>5.8</v>
      </c>
      <c r="E87" s="19"/>
      <c r="F87" s="5"/>
      <c r="H87" s="19"/>
      <c r="Q87" s="5"/>
      <c r="R87" s="9"/>
    </row>
    <row r="88">
      <c r="A88" s="39">
        <v>45865.0</v>
      </c>
      <c r="B88" s="4" t="s">
        <v>66</v>
      </c>
      <c r="C88" s="21">
        <v>4.8</v>
      </c>
      <c r="E88" s="19"/>
      <c r="F88" s="5"/>
      <c r="H88" s="19"/>
      <c r="Q88" s="5"/>
      <c r="R88" s="9"/>
    </row>
    <row r="89">
      <c r="A89" s="39">
        <v>45865.0</v>
      </c>
      <c r="B89" s="4" t="s">
        <v>45</v>
      </c>
      <c r="C89" s="21">
        <v>7.25</v>
      </c>
      <c r="E89" s="19"/>
      <c r="F89" s="5"/>
      <c r="H89" s="19"/>
      <c r="Q89" s="5"/>
      <c r="R89" s="9"/>
    </row>
    <row r="90">
      <c r="A90" s="39">
        <v>45865.0</v>
      </c>
      <c r="B90" s="4" t="s">
        <v>52</v>
      </c>
      <c r="C90" s="21">
        <v>11.95</v>
      </c>
      <c r="E90" s="19"/>
      <c r="F90" s="5"/>
      <c r="H90" s="19"/>
      <c r="Q90" s="5"/>
      <c r="R90" s="9"/>
    </row>
    <row r="91">
      <c r="A91" s="39">
        <v>45865.0</v>
      </c>
      <c r="B91" s="4" t="s">
        <v>127</v>
      </c>
      <c r="C91" s="21">
        <v>4.2</v>
      </c>
      <c r="E91" s="19"/>
      <c r="F91" s="5"/>
      <c r="H91" s="19"/>
      <c r="Q91" s="5"/>
      <c r="R91" s="9"/>
    </row>
    <row r="92">
      <c r="A92" s="39">
        <v>45866.0</v>
      </c>
      <c r="B92" s="4" t="s">
        <v>204</v>
      </c>
      <c r="C92" s="21">
        <v>25.0</v>
      </c>
      <c r="E92" s="19"/>
      <c r="F92" s="5"/>
      <c r="H92" s="19"/>
      <c r="Q92" s="5"/>
      <c r="R92" s="9"/>
    </row>
    <row r="93">
      <c r="A93" s="39">
        <v>45866.0</v>
      </c>
      <c r="B93" s="4" t="s">
        <v>93</v>
      </c>
      <c r="C93" s="21">
        <v>6.75</v>
      </c>
      <c r="E93" s="19"/>
      <c r="F93" s="5"/>
      <c r="H93" s="19"/>
      <c r="Q93" s="5"/>
      <c r="R93" s="9"/>
    </row>
    <row r="94">
      <c r="A94" s="39">
        <v>45866.0</v>
      </c>
      <c r="B94" s="4" t="s">
        <v>205</v>
      </c>
      <c r="C94" s="21">
        <v>5.5</v>
      </c>
      <c r="E94" s="19"/>
      <c r="F94" s="5"/>
      <c r="H94" s="19"/>
      <c r="Q94" s="5"/>
      <c r="R94" s="9"/>
    </row>
    <row r="95">
      <c r="A95" s="39">
        <v>45866.0</v>
      </c>
      <c r="B95" s="4" t="s">
        <v>127</v>
      </c>
      <c r="C95" s="21">
        <v>5.8</v>
      </c>
      <c r="E95" s="19"/>
      <c r="F95" s="5"/>
      <c r="H95" s="19"/>
      <c r="Q95" s="5"/>
      <c r="R95" s="9"/>
    </row>
    <row r="96">
      <c r="A96" s="39">
        <v>45866.0</v>
      </c>
      <c r="B96" s="4" t="s">
        <v>206</v>
      </c>
      <c r="C96" s="21">
        <v>41.35</v>
      </c>
      <c r="E96" s="19"/>
      <c r="F96" s="5"/>
      <c r="H96" s="19"/>
      <c r="Q96" s="5"/>
      <c r="R96" s="9"/>
    </row>
    <row r="97">
      <c r="A97" s="39">
        <v>45867.0</v>
      </c>
      <c r="B97" s="4" t="s">
        <v>207</v>
      </c>
      <c r="C97" s="21">
        <v>39.8</v>
      </c>
      <c r="E97" s="19"/>
      <c r="F97" s="5"/>
      <c r="H97" s="19"/>
      <c r="Q97" s="5"/>
      <c r="R97" s="9"/>
    </row>
    <row r="98">
      <c r="A98" s="39">
        <v>45867.0</v>
      </c>
      <c r="B98" s="4" t="s">
        <v>66</v>
      </c>
      <c r="C98" s="21">
        <v>9.1</v>
      </c>
      <c r="E98" s="19"/>
      <c r="F98" s="5"/>
      <c r="H98" s="19"/>
      <c r="Q98" s="5"/>
      <c r="R98" s="9"/>
    </row>
    <row r="99">
      <c r="A99" s="39">
        <v>45868.0</v>
      </c>
      <c r="B99" s="4" t="s">
        <v>95</v>
      </c>
      <c r="C99" s="21">
        <v>3.98</v>
      </c>
      <c r="E99" s="19"/>
      <c r="F99" s="5"/>
      <c r="H99" s="19"/>
      <c r="Q99" s="5"/>
      <c r="R99" s="9"/>
    </row>
    <row r="100">
      <c r="A100" s="39">
        <v>45868.0</v>
      </c>
      <c r="B100" s="4" t="s">
        <v>194</v>
      </c>
      <c r="C100" s="21">
        <v>12.75</v>
      </c>
      <c r="E100" s="19"/>
      <c r="F100" s="5"/>
      <c r="H100" s="19"/>
      <c r="Q100" s="5"/>
      <c r="R100" s="9"/>
    </row>
    <row r="101">
      <c r="A101" s="39">
        <v>45868.0</v>
      </c>
      <c r="B101" s="4" t="s">
        <v>127</v>
      </c>
      <c r="C101" s="4">
        <v>8.9</v>
      </c>
      <c r="E101" s="19"/>
      <c r="F101" s="5"/>
      <c r="H101" s="19"/>
      <c r="Q101" s="5"/>
      <c r="R101" s="9"/>
    </row>
    <row r="102">
      <c r="A102" s="39">
        <v>45869.0</v>
      </c>
      <c r="B102" s="4" t="s">
        <v>95</v>
      </c>
      <c r="C102" s="21">
        <v>3.98</v>
      </c>
      <c r="E102" s="19"/>
      <c r="F102" s="5"/>
      <c r="H102" s="19"/>
      <c r="Q102" s="5"/>
      <c r="R102" s="9"/>
    </row>
    <row r="103">
      <c r="A103" s="39">
        <v>45869.0</v>
      </c>
      <c r="B103" s="4" t="s">
        <v>194</v>
      </c>
      <c r="C103" s="21">
        <v>12.0</v>
      </c>
      <c r="E103" s="19"/>
      <c r="F103" s="5"/>
      <c r="H103" s="19"/>
      <c r="Q103" s="5"/>
      <c r="R103" s="9"/>
    </row>
    <row r="104">
      <c r="A104" s="39">
        <v>45869.0</v>
      </c>
      <c r="B104" s="4" t="s">
        <v>62</v>
      </c>
      <c r="C104" s="5">
        <f>3.3+1.57+0.85</f>
        <v>5.72</v>
      </c>
      <c r="E104" s="19"/>
      <c r="F104" s="5"/>
      <c r="H104" s="19"/>
      <c r="Q104" s="5"/>
      <c r="R104" s="9"/>
    </row>
    <row r="105">
      <c r="A105" s="39">
        <v>45869.0</v>
      </c>
      <c r="B105" s="4" t="s">
        <v>45</v>
      </c>
      <c r="C105" s="5">
        <f>7.2+19.2+12.8</f>
        <v>39.2</v>
      </c>
      <c r="E105" s="19"/>
      <c r="F105" s="5"/>
      <c r="H105" s="19"/>
      <c r="Q105" s="5"/>
      <c r="R105" s="9"/>
    </row>
    <row r="106">
      <c r="A106" s="39">
        <v>45869.0</v>
      </c>
      <c r="B106" s="4" t="s">
        <v>143</v>
      </c>
      <c r="C106" s="21">
        <v>25.0</v>
      </c>
      <c r="E106" s="19"/>
      <c r="F106" s="5"/>
      <c r="H106" s="19"/>
      <c r="Q106" s="5"/>
      <c r="R106" s="9"/>
    </row>
    <row r="107">
      <c r="A107" s="39">
        <v>45869.0</v>
      </c>
      <c r="B107" s="4" t="s">
        <v>52</v>
      </c>
      <c r="C107" s="21">
        <v>5.0</v>
      </c>
      <c r="E107" s="19"/>
      <c r="F107" s="5"/>
      <c r="H107" s="19"/>
      <c r="Q107" s="5"/>
      <c r="R107" s="9"/>
    </row>
    <row r="108">
      <c r="A108" s="39">
        <v>45869.0</v>
      </c>
      <c r="B108" s="4" t="s">
        <v>208</v>
      </c>
      <c r="C108" s="21">
        <v>34.47</v>
      </c>
      <c r="E108" s="19"/>
      <c r="F108" s="5"/>
      <c r="H108" s="19"/>
      <c r="Q108" s="5"/>
      <c r="R108" s="9"/>
    </row>
    <row r="109">
      <c r="A109" s="39">
        <v>45869.0</v>
      </c>
      <c r="B109" s="4" t="s">
        <v>127</v>
      </c>
      <c r="C109" s="21">
        <v>8.9</v>
      </c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V2">
    <cfRule type="cellIs" dxfId="2" priority="1" operator="greaterThan">
      <formula>0</formula>
    </cfRule>
  </conditionalFormatting>
  <conditionalFormatting sqref="V2">
    <cfRule type="cellIs" dxfId="3" priority="2" operator="lessThan">
      <formula>0</formula>
    </cfRule>
  </conditionalFormatting>
  <conditionalFormatting sqref="N1 N33">
    <cfRule type="timePeriod" dxfId="4" priority="3" timePeriod="today"/>
  </conditionalFormatting>
  <conditionalFormatting sqref="N1 N33:N999">
    <cfRule type="timePeriod" dxfId="5" priority="4" timePeriod="today"/>
  </conditionalFormatting>
  <conditionalFormatting sqref="O1:O999 Q1:Q999">
    <cfRule type="cellIs" dxfId="0" priority="5" operator="lessThan">
      <formula>25</formula>
    </cfRule>
  </conditionalFormatting>
  <conditionalFormatting sqref="O1:O999 Q1:Q999">
    <cfRule type="cellIs" dxfId="6" priority="6" operator="lessThan">
      <formula>35</formula>
    </cfRule>
  </conditionalFormatting>
  <conditionalFormatting sqref="O1:O999 Q1:Q999">
    <cfRule type="cellIs" dxfId="1" priority="7" operator="greaterThanOrEqual">
      <formula>35</formula>
    </cfRule>
  </conditionalFormatting>
  <conditionalFormatting sqref="I1">
    <cfRule type="cellIs" dxfId="1" priority="8" operator="lessThan">
      <formula>0</formula>
    </cfRule>
  </conditionalFormatting>
  <conditionalFormatting sqref="I1">
    <cfRule type="cellIs" dxfId="0" priority="9" operator="greaterThan">
      <formula>0</formula>
    </cfRule>
  </conditionalFormatting>
  <conditionalFormatting sqref="B1:B107 C33 C72 C108 B109:B999">
    <cfRule type="expression" dxfId="2" priority="10">
      <formula>SUMPRODUCT(--ISNUMBER(SEARCH(TRANSPOSE($E$1:$E$12), B1)))&gt;0</formula>
    </cfRule>
  </conditionalFormatting>
  <conditionalFormatting sqref="B1:B107 C33 C72 C108 B109:B999">
    <cfRule type="expression" dxfId="2" priority="11">
      <formula>SUMPRODUCT(--ISNUMBER(SEARCH(TRANSPOSE($H$2:$H$3), B1)))&gt;0</formula>
    </cfRule>
  </conditionalFormatting>
  <conditionalFormatting sqref="B1:B107 C33 C72 C108 B109:B999">
    <cfRule type="expression" dxfId="2" priority="12">
      <formula>SUMPRODUCT(--ISNUMBER(SEARCH(TRANSPOSE($K$1:$K$7), B1)))&gt;0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5" si="1">SUMIF(B:B,"*"&amp;E1&amp;"*",C:C)</f>
        <v>223.2</v>
      </c>
      <c r="G1" s="28"/>
      <c r="H1" s="1" t="s">
        <v>46</v>
      </c>
      <c r="I1" s="5">
        <f>I6-I7</f>
        <v>42.02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93.43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45809.0</v>
      </c>
      <c r="B2" s="4" t="s">
        <v>8</v>
      </c>
      <c r="C2" s="21">
        <v>0.0</v>
      </c>
      <c r="E2" s="1" t="s">
        <v>52</v>
      </c>
      <c r="F2" s="5">
        <f t="shared" si="1"/>
        <v>52.12</v>
      </c>
      <c r="G2" s="28"/>
      <c r="H2" s="1" t="s">
        <v>6</v>
      </c>
      <c r="I2" s="5">
        <f>SUMIF(B:B,H2,C:C)</f>
        <v>1000</v>
      </c>
      <c r="K2" s="1" t="s">
        <v>53</v>
      </c>
      <c r="L2" s="5">
        <f t="shared" si="2"/>
        <v>0</v>
      </c>
      <c r="N2" s="39">
        <v>45809.0</v>
      </c>
      <c r="O2" s="5">
        <f>sumif(A:A,N2,C:C)-sum(C2:C4)</f>
        <v>43.64</v>
      </c>
      <c r="P2" s="5">
        <f>SUM(O2)</f>
        <v>43.64</v>
      </c>
      <c r="Q2" s="5">
        <f t="shared" ref="Q2:Q31" si="3">P2/(ROW()-1)</f>
        <v>43.64</v>
      </c>
      <c r="R2" s="9">
        <f t="shared" ref="R2:R31" si="4">count(N:N)*Q2</f>
        <v>1309.2</v>
      </c>
      <c r="T2" s="9"/>
      <c r="U2" s="9"/>
    </row>
    <row r="3">
      <c r="A3" s="39">
        <v>45809.0</v>
      </c>
      <c r="B3" s="4" t="s">
        <v>54</v>
      </c>
      <c r="C3" s="41">
        <f>850+32.74+136.76</f>
        <v>1019.5</v>
      </c>
      <c r="E3" s="1" t="s">
        <v>209</v>
      </c>
      <c r="F3" s="5">
        <f t="shared" si="1"/>
        <v>11.96</v>
      </c>
      <c r="G3" s="28"/>
      <c r="H3" s="1" t="s">
        <v>8</v>
      </c>
      <c r="I3" s="5">
        <f>SUMIF(B:B,H3,C:C)+I1</f>
        <v>42.02</v>
      </c>
      <c r="K3" s="1" t="s">
        <v>56</v>
      </c>
      <c r="L3" s="5">
        <f t="shared" si="2"/>
        <v>0</v>
      </c>
      <c r="N3" s="39">
        <v>45810.0</v>
      </c>
      <c r="O3" s="40">
        <f t="shared" ref="O3:O31" si="5">sumif(A:A,N3,C:C)</f>
        <v>16.97</v>
      </c>
      <c r="P3" s="5">
        <f t="shared" ref="P3:P31" si="6">P2+O3</f>
        <v>60.61</v>
      </c>
      <c r="Q3" s="5">
        <f t="shared" si="3"/>
        <v>30.305</v>
      </c>
      <c r="R3" s="9">
        <f t="shared" si="4"/>
        <v>909.15</v>
      </c>
    </row>
    <row r="4">
      <c r="A4" s="39">
        <v>45809.0</v>
      </c>
      <c r="B4" s="4" t="s">
        <v>6</v>
      </c>
      <c r="C4" s="21">
        <v>1000.0</v>
      </c>
      <c r="E4" s="1" t="s">
        <v>140</v>
      </c>
      <c r="F4" s="5">
        <f t="shared" si="1"/>
        <v>70.2</v>
      </c>
      <c r="G4" s="28"/>
      <c r="H4" s="1" t="s">
        <v>58</v>
      </c>
      <c r="I4" s="5">
        <f>I2+I3</f>
        <v>1042.02</v>
      </c>
      <c r="K4" s="1" t="s">
        <v>59</v>
      </c>
      <c r="L4" s="5">
        <f t="shared" si="2"/>
        <v>42.22</v>
      </c>
      <c r="N4" s="39">
        <v>45811.0</v>
      </c>
      <c r="O4" s="40">
        <f t="shared" si="5"/>
        <v>25.6</v>
      </c>
      <c r="P4" s="5">
        <f t="shared" si="6"/>
        <v>86.21</v>
      </c>
      <c r="Q4" s="5">
        <f t="shared" si="3"/>
        <v>28.73666667</v>
      </c>
      <c r="R4" s="9">
        <f t="shared" si="4"/>
        <v>862.1</v>
      </c>
    </row>
    <row r="5">
      <c r="A5" s="39">
        <v>45809.0</v>
      </c>
      <c r="B5" s="4" t="s">
        <v>63</v>
      </c>
      <c r="C5" s="21">
        <v>7.0</v>
      </c>
      <c r="E5" s="1" t="s">
        <v>210</v>
      </c>
      <c r="F5" s="5">
        <f t="shared" si="1"/>
        <v>133.42</v>
      </c>
      <c r="G5" s="28"/>
      <c r="K5" s="1" t="s">
        <v>62</v>
      </c>
      <c r="L5" s="5">
        <f t="shared" si="2"/>
        <v>25.05</v>
      </c>
      <c r="N5" s="39">
        <v>45812.0</v>
      </c>
      <c r="O5" s="40">
        <f t="shared" si="5"/>
        <v>27.44</v>
      </c>
      <c r="P5" s="5">
        <f t="shared" si="6"/>
        <v>113.65</v>
      </c>
      <c r="Q5" s="5">
        <f t="shared" si="3"/>
        <v>28.4125</v>
      </c>
      <c r="R5" s="9">
        <f t="shared" si="4"/>
        <v>852.375</v>
      </c>
    </row>
    <row r="6">
      <c r="A6" s="39">
        <v>45809.0</v>
      </c>
      <c r="B6" s="4" t="s">
        <v>67</v>
      </c>
      <c r="C6" s="12">
        <v>21.99</v>
      </c>
      <c r="E6" s="1" t="s">
        <v>57</v>
      </c>
      <c r="F6" s="5">
        <f>SUMIF(B:B,"*"&amp;E6&amp;"*",C:C)+SUM(L1:L7)</f>
        <v>301.6</v>
      </c>
      <c r="G6" s="28"/>
      <c r="H6" s="1" t="s">
        <v>65</v>
      </c>
      <c r="I6" s="21">
        <v>3208.83</v>
      </c>
      <c r="K6" s="1" t="s">
        <v>66</v>
      </c>
      <c r="L6" s="5">
        <f t="shared" si="2"/>
        <v>105.22</v>
      </c>
      <c r="N6" s="39">
        <v>45813.0</v>
      </c>
      <c r="O6" s="40">
        <f t="shared" si="5"/>
        <v>20.88</v>
      </c>
      <c r="P6" s="5">
        <f t="shared" si="6"/>
        <v>134.53</v>
      </c>
      <c r="Q6" s="5">
        <f t="shared" si="3"/>
        <v>26.906</v>
      </c>
      <c r="R6" s="9">
        <f t="shared" si="4"/>
        <v>807.18</v>
      </c>
    </row>
    <row r="7">
      <c r="A7" s="39">
        <v>45809.0</v>
      </c>
      <c r="B7" s="4" t="s">
        <v>183</v>
      </c>
      <c r="C7" s="21">
        <f>99/12</f>
        <v>8.25</v>
      </c>
      <c r="E7" s="42" t="s">
        <v>61</v>
      </c>
      <c r="F7" s="5">
        <f t="shared" ref="F7:F14" si="7">SUMIF(B:B,"*"&amp;E7&amp;"*",C:C)</f>
        <v>56.18</v>
      </c>
      <c r="G7" s="28"/>
      <c r="H7" s="1" t="s">
        <v>68</v>
      </c>
      <c r="I7" s="5">
        <f>sum(C:C)</f>
        <v>3166.81</v>
      </c>
      <c r="K7" s="1" t="s">
        <v>69</v>
      </c>
      <c r="L7" s="5">
        <f t="shared" si="2"/>
        <v>10.96</v>
      </c>
      <c r="N7" s="39">
        <v>45814.0</v>
      </c>
      <c r="O7" s="40">
        <f t="shared" si="5"/>
        <v>12.25</v>
      </c>
      <c r="P7" s="5">
        <f t="shared" si="6"/>
        <v>146.78</v>
      </c>
      <c r="Q7" s="5">
        <f t="shared" si="3"/>
        <v>24.46333333</v>
      </c>
      <c r="R7" s="9">
        <f t="shared" si="4"/>
        <v>733.9</v>
      </c>
    </row>
    <row r="8">
      <c r="A8" s="39">
        <v>45809.0</v>
      </c>
      <c r="B8" s="4" t="s">
        <v>52</v>
      </c>
      <c r="C8" s="4">
        <v>6.4</v>
      </c>
      <c r="E8" s="1" t="s">
        <v>64</v>
      </c>
      <c r="F8" s="5">
        <f t="shared" si="7"/>
        <v>34.5</v>
      </c>
      <c r="G8" s="28"/>
      <c r="H8" s="1" t="s">
        <v>72</v>
      </c>
      <c r="I8" s="5">
        <f>sum(F:F)+I2+C2</f>
        <v>3096.51</v>
      </c>
      <c r="N8" s="39">
        <v>45815.0</v>
      </c>
      <c r="O8" s="45">
        <f t="shared" si="5"/>
        <v>167.19</v>
      </c>
      <c r="P8" s="5">
        <f t="shared" si="6"/>
        <v>313.97</v>
      </c>
      <c r="Q8" s="5">
        <f t="shared" si="3"/>
        <v>44.85285714</v>
      </c>
      <c r="R8" s="9">
        <f t="shared" si="4"/>
        <v>1345.585714</v>
      </c>
    </row>
    <row r="9">
      <c r="A9" s="39">
        <v>45810.0</v>
      </c>
      <c r="B9" s="4" t="s">
        <v>195</v>
      </c>
      <c r="C9" s="4">
        <v>0.5</v>
      </c>
      <c r="E9" s="1" t="s">
        <v>54</v>
      </c>
      <c r="F9" s="5">
        <f t="shared" si="7"/>
        <v>1026.5</v>
      </c>
      <c r="G9" s="28"/>
      <c r="H9" s="1" t="s">
        <v>74</v>
      </c>
      <c r="I9" s="5">
        <f>I7-I8</f>
        <v>70.3</v>
      </c>
      <c r="J9" s="28"/>
      <c r="N9" s="39">
        <v>45816.0</v>
      </c>
      <c r="O9" s="40">
        <f t="shared" si="5"/>
        <v>16.3</v>
      </c>
      <c r="P9" s="5">
        <f t="shared" si="6"/>
        <v>330.27</v>
      </c>
      <c r="Q9" s="5">
        <f t="shared" si="3"/>
        <v>41.28375</v>
      </c>
      <c r="R9" s="9">
        <f t="shared" si="4"/>
        <v>1238.5125</v>
      </c>
    </row>
    <row r="10">
      <c r="A10" s="39">
        <v>45810.0</v>
      </c>
      <c r="B10" s="4" t="s">
        <v>66</v>
      </c>
      <c r="C10" s="4">
        <v>2.8</v>
      </c>
      <c r="E10" s="1" t="s">
        <v>127</v>
      </c>
      <c r="F10" s="5">
        <f t="shared" si="7"/>
        <v>61.95</v>
      </c>
      <c r="G10" s="28"/>
      <c r="N10" s="39">
        <v>45817.0</v>
      </c>
      <c r="O10" s="40">
        <f t="shared" si="5"/>
        <v>18.97</v>
      </c>
      <c r="P10" s="5">
        <f t="shared" si="6"/>
        <v>349.24</v>
      </c>
      <c r="Q10" s="5">
        <f t="shared" si="3"/>
        <v>38.80444444</v>
      </c>
      <c r="R10" s="9">
        <f t="shared" si="4"/>
        <v>1164.133333</v>
      </c>
    </row>
    <row r="11">
      <c r="A11" s="39">
        <v>45810.0</v>
      </c>
      <c r="B11" s="4" t="s">
        <v>69</v>
      </c>
      <c r="C11" s="21">
        <v>3.75</v>
      </c>
      <c r="E11" s="1" t="s">
        <v>73</v>
      </c>
      <c r="F11" s="5">
        <f t="shared" si="7"/>
        <v>45.38</v>
      </c>
      <c r="G11" s="28"/>
      <c r="H11" s="1" t="s">
        <v>3</v>
      </c>
      <c r="I11" s="28">
        <f>I4/I6</f>
        <v>0.3247351839</v>
      </c>
      <c r="N11" s="39">
        <v>45818.0</v>
      </c>
      <c r="O11" s="45">
        <f t="shared" si="5"/>
        <v>57.03</v>
      </c>
      <c r="P11" s="5">
        <f t="shared" si="6"/>
        <v>406.27</v>
      </c>
      <c r="Q11" s="5">
        <f t="shared" si="3"/>
        <v>40.627</v>
      </c>
      <c r="R11" s="9">
        <f t="shared" si="4"/>
        <v>1218.81</v>
      </c>
    </row>
    <row r="12">
      <c r="A12" s="39">
        <v>45810.0</v>
      </c>
      <c r="B12" s="4" t="s">
        <v>59</v>
      </c>
      <c r="C12" s="21">
        <v>9.92</v>
      </c>
      <c r="E12" s="1" t="s">
        <v>75</v>
      </c>
      <c r="F12" s="5">
        <f t="shared" si="7"/>
        <v>58.98</v>
      </c>
      <c r="G12" s="28"/>
      <c r="N12" s="39">
        <v>45819.0</v>
      </c>
      <c r="O12" s="40">
        <f t="shared" si="5"/>
        <v>27.09</v>
      </c>
      <c r="P12" s="5">
        <f t="shared" si="6"/>
        <v>433.36</v>
      </c>
      <c r="Q12" s="5">
        <f t="shared" si="3"/>
        <v>39.39636364</v>
      </c>
      <c r="R12" s="9">
        <f t="shared" si="4"/>
        <v>1181.890909</v>
      </c>
    </row>
    <row r="13">
      <c r="A13" s="39">
        <v>45811.0</v>
      </c>
      <c r="B13" s="4" t="s">
        <v>211</v>
      </c>
      <c r="C13" s="21">
        <v>12.99</v>
      </c>
      <c r="E13" s="1" t="s">
        <v>76</v>
      </c>
      <c r="F13" s="5">
        <f t="shared" si="7"/>
        <v>20.52</v>
      </c>
      <c r="G13" s="28"/>
      <c r="N13" s="39">
        <v>45820.0</v>
      </c>
      <c r="O13" s="40">
        <f t="shared" si="5"/>
        <v>20.49</v>
      </c>
      <c r="P13" s="5">
        <f t="shared" si="6"/>
        <v>453.85</v>
      </c>
      <c r="Q13" s="5">
        <f t="shared" si="3"/>
        <v>37.82083333</v>
      </c>
      <c r="R13" s="9">
        <f t="shared" si="4"/>
        <v>1134.625</v>
      </c>
    </row>
    <row r="14">
      <c r="A14" s="39">
        <v>45811.0</v>
      </c>
      <c r="B14" s="4" t="s">
        <v>69</v>
      </c>
      <c r="C14" s="21">
        <v>7.21</v>
      </c>
      <c r="E14" s="1" t="s">
        <v>77</v>
      </c>
      <c r="F14" s="5">
        <f t="shared" si="7"/>
        <v>0</v>
      </c>
      <c r="G14" s="28"/>
      <c r="H14" s="19"/>
      <c r="N14" s="39">
        <v>45821.0</v>
      </c>
      <c r="O14" s="40">
        <f t="shared" si="5"/>
        <v>10.6</v>
      </c>
      <c r="P14" s="5">
        <f t="shared" si="6"/>
        <v>464.45</v>
      </c>
      <c r="Q14" s="5">
        <f t="shared" si="3"/>
        <v>35.72692308</v>
      </c>
      <c r="R14" s="9">
        <f t="shared" si="4"/>
        <v>1071.807692</v>
      </c>
    </row>
    <row r="15">
      <c r="A15" s="39">
        <v>45811.0</v>
      </c>
      <c r="B15" s="4" t="s">
        <v>57</v>
      </c>
      <c r="C15" s="21">
        <v>5.4</v>
      </c>
      <c r="G15" s="28"/>
      <c r="H15" s="1" t="s">
        <v>55</v>
      </c>
      <c r="I15" s="5">
        <f>sum(F2:F5)+F13</f>
        <v>288.22</v>
      </c>
      <c r="J15" s="28"/>
      <c r="N15" s="39">
        <v>45822.0</v>
      </c>
      <c r="O15" s="40">
        <f t="shared" si="5"/>
        <v>72.62</v>
      </c>
      <c r="P15" s="5">
        <f t="shared" si="6"/>
        <v>537.07</v>
      </c>
      <c r="Q15" s="5">
        <f t="shared" si="3"/>
        <v>38.36214286</v>
      </c>
      <c r="R15" s="9">
        <f t="shared" si="4"/>
        <v>1150.864286</v>
      </c>
    </row>
    <row r="16">
      <c r="A16" s="39">
        <v>45812.0</v>
      </c>
      <c r="B16" s="4" t="s">
        <v>127</v>
      </c>
      <c r="C16" s="21">
        <v>2.9</v>
      </c>
      <c r="G16" s="28"/>
      <c r="H16" s="19"/>
      <c r="N16" s="39">
        <v>45823.0</v>
      </c>
      <c r="O16" s="40">
        <f t="shared" si="5"/>
        <v>11</v>
      </c>
      <c r="P16" s="5">
        <f t="shared" si="6"/>
        <v>548.07</v>
      </c>
      <c r="Q16" s="5">
        <f t="shared" si="3"/>
        <v>36.538</v>
      </c>
      <c r="R16" s="9">
        <f t="shared" si="4"/>
        <v>1096.14</v>
      </c>
    </row>
    <row r="17">
      <c r="A17" s="39">
        <v>45812.0</v>
      </c>
      <c r="B17" s="4" t="s">
        <v>62</v>
      </c>
      <c r="C17" s="21">
        <v>3.6</v>
      </c>
      <c r="G17" s="28"/>
      <c r="H17" s="19"/>
      <c r="N17" s="39">
        <v>45824.0</v>
      </c>
      <c r="O17" s="40">
        <f t="shared" si="5"/>
        <v>11.57</v>
      </c>
      <c r="P17" s="5">
        <f t="shared" si="6"/>
        <v>559.64</v>
      </c>
      <c r="Q17" s="5">
        <f t="shared" si="3"/>
        <v>34.9775</v>
      </c>
      <c r="R17" s="9">
        <f t="shared" si="4"/>
        <v>1049.325</v>
      </c>
    </row>
    <row r="18">
      <c r="A18" s="39">
        <v>45812.0</v>
      </c>
      <c r="B18" s="4" t="s">
        <v>76</v>
      </c>
      <c r="C18" s="21">
        <v>0.99</v>
      </c>
      <c r="G18" s="28"/>
      <c r="H18" s="19"/>
      <c r="N18" s="39">
        <v>45825.0</v>
      </c>
      <c r="O18" s="40">
        <f t="shared" si="5"/>
        <v>11.37</v>
      </c>
      <c r="P18" s="5">
        <f t="shared" si="6"/>
        <v>571.01</v>
      </c>
      <c r="Q18" s="5">
        <f t="shared" si="3"/>
        <v>33.58882353</v>
      </c>
      <c r="R18" s="9">
        <f t="shared" si="4"/>
        <v>1007.664706</v>
      </c>
    </row>
    <row r="19">
      <c r="A19" s="39">
        <v>45812.0</v>
      </c>
      <c r="B19" s="4" t="s">
        <v>140</v>
      </c>
      <c r="C19" s="21">
        <v>11.95</v>
      </c>
      <c r="G19" s="28"/>
      <c r="H19" s="19"/>
      <c r="N19" s="39">
        <v>45826.0</v>
      </c>
      <c r="O19" s="40">
        <f t="shared" si="5"/>
        <v>21.4</v>
      </c>
      <c r="P19" s="5">
        <f t="shared" si="6"/>
        <v>592.41</v>
      </c>
      <c r="Q19" s="5">
        <f t="shared" si="3"/>
        <v>32.91166667</v>
      </c>
      <c r="R19" s="9">
        <f t="shared" si="4"/>
        <v>987.35</v>
      </c>
    </row>
    <row r="20">
      <c r="A20" s="39">
        <v>45812.0</v>
      </c>
      <c r="B20" s="4" t="s">
        <v>197</v>
      </c>
      <c r="C20" s="21">
        <v>8.0</v>
      </c>
      <c r="G20" s="28"/>
      <c r="H20" s="19"/>
      <c r="N20" s="39">
        <v>45827.0</v>
      </c>
      <c r="O20" s="40">
        <f t="shared" si="5"/>
        <v>56.6</v>
      </c>
      <c r="P20" s="5">
        <f t="shared" si="6"/>
        <v>649.01</v>
      </c>
      <c r="Q20" s="5">
        <f t="shared" si="3"/>
        <v>34.15842105</v>
      </c>
      <c r="R20" s="9">
        <f t="shared" si="4"/>
        <v>1024.752632</v>
      </c>
    </row>
    <row r="21">
      <c r="A21" s="39">
        <v>45813.0</v>
      </c>
      <c r="B21" s="4" t="s">
        <v>127</v>
      </c>
      <c r="C21" s="21">
        <v>7.0</v>
      </c>
      <c r="E21" s="19"/>
      <c r="F21" s="5"/>
      <c r="G21" s="28"/>
      <c r="H21" s="19"/>
      <c r="N21" s="39">
        <v>45828.0</v>
      </c>
      <c r="O21" s="40">
        <f t="shared" si="5"/>
        <v>113.08</v>
      </c>
      <c r="P21" s="5">
        <f t="shared" si="6"/>
        <v>762.09</v>
      </c>
      <c r="Q21" s="5">
        <f t="shared" si="3"/>
        <v>38.1045</v>
      </c>
      <c r="R21" s="9">
        <f t="shared" si="4"/>
        <v>1143.135</v>
      </c>
    </row>
    <row r="22">
      <c r="A22" s="39">
        <v>45813.0</v>
      </c>
      <c r="B22" s="4" t="s">
        <v>62</v>
      </c>
      <c r="C22" s="21">
        <v>2.58</v>
      </c>
      <c r="E22" s="19"/>
      <c r="F22" s="5"/>
      <c r="G22" s="28"/>
      <c r="H22" s="19"/>
      <c r="N22" s="39">
        <v>45829.0</v>
      </c>
      <c r="O22" s="40">
        <f t="shared" si="5"/>
        <v>21.7</v>
      </c>
      <c r="P22" s="5">
        <f t="shared" si="6"/>
        <v>783.79</v>
      </c>
      <c r="Q22" s="5">
        <f t="shared" si="3"/>
        <v>37.32333333</v>
      </c>
      <c r="R22" s="9">
        <f t="shared" si="4"/>
        <v>1119.7</v>
      </c>
    </row>
    <row r="23">
      <c r="A23" s="39">
        <v>45813.0</v>
      </c>
      <c r="B23" s="4" t="s">
        <v>62</v>
      </c>
      <c r="C23" s="4">
        <v>2.42</v>
      </c>
      <c r="E23" s="19"/>
      <c r="F23" s="5"/>
      <c r="G23" s="28"/>
      <c r="H23" s="19"/>
      <c r="N23" s="39">
        <v>45830.0</v>
      </c>
      <c r="O23" s="40">
        <f t="shared" si="5"/>
        <v>12.18</v>
      </c>
      <c r="P23" s="5">
        <f t="shared" si="6"/>
        <v>795.97</v>
      </c>
      <c r="Q23" s="5">
        <f t="shared" si="3"/>
        <v>36.18045455</v>
      </c>
      <c r="R23" s="9">
        <f t="shared" si="4"/>
        <v>1085.413636</v>
      </c>
    </row>
    <row r="24">
      <c r="A24" s="39">
        <v>45813.0</v>
      </c>
      <c r="B24" s="4" t="s">
        <v>209</v>
      </c>
      <c r="C24" s="21">
        <v>5.98</v>
      </c>
      <c r="F24" s="5"/>
      <c r="G24" s="28"/>
      <c r="H24" s="19"/>
      <c r="N24" s="39">
        <v>45831.0</v>
      </c>
      <c r="O24" s="40">
        <f t="shared" si="5"/>
        <v>26.65</v>
      </c>
      <c r="P24" s="5">
        <f t="shared" si="6"/>
        <v>822.62</v>
      </c>
      <c r="Q24" s="5">
        <f t="shared" si="3"/>
        <v>35.76608696</v>
      </c>
      <c r="R24" s="9">
        <f t="shared" si="4"/>
        <v>1072.982609</v>
      </c>
    </row>
    <row r="25">
      <c r="A25" s="39">
        <v>45813.0</v>
      </c>
      <c r="B25" s="4" t="s">
        <v>47</v>
      </c>
      <c r="C25" s="21">
        <v>2.9</v>
      </c>
      <c r="F25" s="5"/>
      <c r="G25" s="28"/>
      <c r="H25" s="19"/>
      <c r="N25" s="39">
        <v>45832.0</v>
      </c>
      <c r="O25" s="40">
        <f t="shared" si="5"/>
        <v>47.59</v>
      </c>
      <c r="P25" s="5">
        <f t="shared" si="6"/>
        <v>870.21</v>
      </c>
      <c r="Q25" s="5">
        <f t="shared" si="3"/>
        <v>36.25875</v>
      </c>
      <c r="R25" s="9">
        <f t="shared" si="4"/>
        <v>1087.7625</v>
      </c>
    </row>
    <row r="26">
      <c r="A26" s="39">
        <v>45814.0</v>
      </c>
      <c r="B26" s="4" t="s">
        <v>66</v>
      </c>
      <c r="C26" s="21">
        <v>7.0</v>
      </c>
      <c r="F26" s="5"/>
      <c r="G26" s="28"/>
      <c r="H26" s="19"/>
      <c r="N26" s="39">
        <v>45833.0</v>
      </c>
      <c r="O26" s="40">
        <f t="shared" si="5"/>
        <v>35.37</v>
      </c>
      <c r="P26" s="5">
        <f t="shared" si="6"/>
        <v>905.58</v>
      </c>
      <c r="Q26" s="5">
        <f t="shared" si="3"/>
        <v>36.2232</v>
      </c>
      <c r="R26" s="9">
        <f t="shared" si="4"/>
        <v>1086.696</v>
      </c>
    </row>
    <row r="27">
      <c r="A27" s="39">
        <v>45814.0</v>
      </c>
      <c r="B27" s="4" t="s">
        <v>57</v>
      </c>
      <c r="C27" s="21">
        <v>1.5</v>
      </c>
      <c r="F27" s="5"/>
      <c r="G27" s="28"/>
      <c r="H27" s="19"/>
      <c r="N27" s="39">
        <v>45834.0</v>
      </c>
      <c r="O27" s="40">
        <f t="shared" si="5"/>
        <v>54.5</v>
      </c>
      <c r="P27" s="5">
        <f t="shared" si="6"/>
        <v>960.08</v>
      </c>
      <c r="Q27" s="5">
        <f t="shared" si="3"/>
        <v>36.92615385</v>
      </c>
      <c r="R27" s="9">
        <f t="shared" si="4"/>
        <v>1107.784615</v>
      </c>
    </row>
    <row r="28">
      <c r="A28" s="39">
        <v>45814.0</v>
      </c>
      <c r="B28" s="4" t="s">
        <v>47</v>
      </c>
      <c r="C28" s="21">
        <v>3.75</v>
      </c>
      <c r="F28" s="5"/>
      <c r="G28" s="28"/>
      <c r="H28" s="19"/>
      <c r="N28" s="39">
        <v>45835.0</v>
      </c>
      <c r="O28" s="40">
        <f t="shared" si="5"/>
        <v>77.61</v>
      </c>
      <c r="P28" s="5">
        <f t="shared" si="6"/>
        <v>1037.69</v>
      </c>
      <c r="Q28" s="5">
        <f t="shared" si="3"/>
        <v>38.43296296</v>
      </c>
      <c r="R28" s="9">
        <f t="shared" si="4"/>
        <v>1152.988889</v>
      </c>
    </row>
    <row r="29">
      <c r="A29" s="39">
        <v>45815.0</v>
      </c>
      <c r="B29" s="4" t="s">
        <v>57</v>
      </c>
      <c r="C29" s="21">
        <f>1.65+3.49</f>
        <v>5.14</v>
      </c>
      <c r="F29" s="5"/>
      <c r="G29" s="28"/>
      <c r="H29" s="19"/>
      <c r="N29" s="39">
        <v>45836.0</v>
      </c>
      <c r="O29" s="40">
        <f t="shared" si="5"/>
        <v>21.6</v>
      </c>
      <c r="P29" s="5">
        <f t="shared" si="6"/>
        <v>1059.29</v>
      </c>
      <c r="Q29" s="5">
        <f t="shared" si="3"/>
        <v>37.83178571</v>
      </c>
      <c r="R29" s="9">
        <f t="shared" si="4"/>
        <v>1134.953571</v>
      </c>
    </row>
    <row r="30">
      <c r="A30" s="39">
        <v>45815.0</v>
      </c>
      <c r="B30" s="4" t="s">
        <v>140</v>
      </c>
      <c r="C30" s="21">
        <v>13.5</v>
      </c>
      <c r="F30" s="5"/>
      <c r="G30" s="28"/>
      <c r="H30" s="19"/>
      <c r="N30" s="39">
        <v>45837.0</v>
      </c>
      <c r="O30" s="40">
        <f t="shared" si="5"/>
        <v>54.77</v>
      </c>
      <c r="P30" s="5">
        <f t="shared" si="6"/>
        <v>1114.06</v>
      </c>
      <c r="Q30" s="5">
        <f t="shared" si="3"/>
        <v>38.41586207</v>
      </c>
      <c r="R30" s="9">
        <f t="shared" si="4"/>
        <v>1152.475862</v>
      </c>
    </row>
    <row r="31">
      <c r="A31" s="39">
        <v>45815.0</v>
      </c>
      <c r="B31" s="4" t="s">
        <v>45</v>
      </c>
      <c r="C31" s="40">
        <f>13.9+16.99+13.4+7.5+13.95+1.71+19.5+21</f>
        <v>107.95</v>
      </c>
      <c r="E31" s="19"/>
      <c r="F31" s="5"/>
      <c r="G31" s="28"/>
      <c r="H31" s="19"/>
      <c r="N31" s="39">
        <v>45838.0</v>
      </c>
      <c r="O31" s="40">
        <f t="shared" si="5"/>
        <v>33.25</v>
      </c>
      <c r="P31" s="5">
        <f t="shared" si="6"/>
        <v>1147.31</v>
      </c>
      <c r="Q31" s="5">
        <f t="shared" si="3"/>
        <v>38.24366667</v>
      </c>
      <c r="R31" s="9">
        <f t="shared" si="4"/>
        <v>1147.31</v>
      </c>
    </row>
    <row r="32">
      <c r="A32" s="39">
        <v>45815.0</v>
      </c>
      <c r="B32" s="4" t="s">
        <v>73</v>
      </c>
      <c r="C32" s="21">
        <v>31.95</v>
      </c>
      <c r="E32" s="19"/>
      <c r="F32" s="5"/>
      <c r="G32" s="28"/>
      <c r="H32" s="19"/>
      <c r="N32" s="39"/>
      <c r="Q32" s="5"/>
      <c r="R32" s="9"/>
    </row>
    <row r="33">
      <c r="A33" s="39">
        <v>45815.0</v>
      </c>
      <c r="B33" s="4" t="s">
        <v>210</v>
      </c>
      <c r="C33" s="4">
        <v>4.0</v>
      </c>
      <c r="E33" s="19"/>
      <c r="F33" s="5"/>
      <c r="G33" s="28"/>
      <c r="H33" s="19"/>
      <c r="N33" s="39"/>
      <c r="Q33" s="5"/>
      <c r="R33" s="9"/>
    </row>
    <row r="34">
      <c r="A34" s="39">
        <v>45815.0</v>
      </c>
      <c r="B34" s="4" t="s">
        <v>127</v>
      </c>
      <c r="C34" s="21">
        <v>4.65</v>
      </c>
      <c r="E34" s="19"/>
      <c r="F34" s="5"/>
      <c r="G34" s="28"/>
      <c r="H34" s="19"/>
      <c r="Q34" s="5"/>
      <c r="R34" s="9"/>
    </row>
    <row r="35">
      <c r="A35" s="39">
        <v>45816.0</v>
      </c>
      <c r="B35" s="4" t="s">
        <v>66</v>
      </c>
      <c r="C35" s="21">
        <v>16.3</v>
      </c>
      <c r="E35" s="19"/>
      <c r="F35" s="5"/>
      <c r="G35" s="28"/>
      <c r="H35" s="19"/>
      <c r="Q35" s="5"/>
      <c r="R35" s="9"/>
    </row>
    <row r="36">
      <c r="A36" s="39">
        <v>45817.0</v>
      </c>
      <c r="B36" s="4" t="s">
        <v>47</v>
      </c>
      <c r="C36" s="21">
        <v>5.47</v>
      </c>
      <c r="E36" s="19"/>
      <c r="F36" s="5"/>
      <c r="G36" s="28"/>
      <c r="H36" s="19"/>
      <c r="Q36" s="5"/>
      <c r="R36" s="9"/>
    </row>
    <row r="37">
      <c r="A37" s="39">
        <v>45817.0</v>
      </c>
      <c r="B37" s="4" t="s">
        <v>140</v>
      </c>
      <c r="C37" s="21">
        <v>13.5</v>
      </c>
      <c r="E37" s="19"/>
      <c r="F37" s="5"/>
      <c r="G37" s="28"/>
      <c r="H37" s="19"/>
      <c r="Q37" s="5"/>
      <c r="R37" s="9"/>
    </row>
    <row r="38">
      <c r="A38" s="39">
        <v>45818.0</v>
      </c>
      <c r="B38" s="4" t="s">
        <v>212</v>
      </c>
      <c r="C38" s="21">
        <v>4.69</v>
      </c>
      <c r="E38" s="19"/>
      <c r="F38" s="5"/>
      <c r="G38" s="28"/>
      <c r="H38" s="19"/>
      <c r="Q38" s="5"/>
      <c r="R38" s="9"/>
    </row>
    <row r="39">
      <c r="A39" s="39">
        <v>45818.0</v>
      </c>
      <c r="B39" s="4" t="s">
        <v>64</v>
      </c>
      <c r="C39" s="21">
        <f>50.5-33</f>
        <v>17.5</v>
      </c>
      <c r="E39" s="19"/>
      <c r="F39" s="5"/>
      <c r="G39" s="28"/>
      <c r="H39" s="19"/>
      <c r="Q39" s="5"/>
      <c r="R39" s="9"/>
    </row>
    <row r="40">
      <c r="A40" s="39">
        <v>45818.0</v>
      </c>
      <c r="B40" s="4" t="s">
        <v>66</v>
      </c>
      <c r="C40" s="21">
        <v>15.75</v>
      </c>
      <c r="E40" s="19"/>
      <c r="F40" s="5"/>
      <c r="G40" s="28"/>
      <c r="H40" s="19"/>
      <c r="Q40" s="5"/>
      <c r="R40" s="9"/>
    </row>
    <row r="41">
      <c r="A41" s="39">
        <v>45818.0</v>
      </c>
      <c r="B41" s="4" t="s">
        <v>47</v>
      </c>
      <c r="C41" s="21">
        <v>7.8</v>
      </c>
      <c r="E41" s="19"/>
      <c r="F41" s="5"/>
      <c r="G41" s="28"/>
      <c r="H41" s="19"/>
      <c r="Q41" s="5"/>
      <c r="R41" s="9"/>
    </row>
    <row r="42">
      <c r="A42" s="39">
        <v>45818.0</v>
      </c>
      <c r="B42" s="4" t="s">
        <v>57</v>
      </c>
      <c r="C42" s="21">
        <v>9.0</v>
      </c>
      <c r="E42" s="19"/>
      <c r="F42" s="5"/>
      <c r="G42" s="28"/>
      <c r="H42" s="19"/>
      <c r="Q42" s="5"/>
      <c r="R42" s="9"/>
    </row>
    <row r="43">
      <c r="A43" s="39">
        <v>45818.0</v>
      </c>
      <c r="B43" s="4" t="s">
        <v>52</v>
      </c>
      <c r="C43" s="21">
        <v>2.29</v>
      </c>
      <c r="E43" s="19"/>
      <c r="F43" s="5"/>
      <c r="G43" s="28"/>
      <c r="H43" s="19"/>
      <c r="Q43" s="5"/>
      <c r="R43" s="9"/>
    </row>
    <row r="44">
      <c r="A44" s="39">
        <v>45819.0</v>
      </c>
      <c r="B44" s="4" t="s">
        <v>127</v>
      </c>
      <c r="C44" s="21">
        <v>7.0</v>
      </c>
      <c r="E44" s="19"/>
      <c r="F44" s="5"/>
      <c r="G44" s="28"/>
      <c r="H44" s="19"/>
      <c r="Q44" s="5"/>
      <c r="R44" s="9"/>
    </row>
    <row r="45">
      <c r="A45" s="39">
        <v>45819.0</v>
      </c>
      <c r="B45" s="4" t="s">
        <v>62</v>
      </c>
      <c r="C45" s="21">
        <v>3.6</v>
      </c>
      <c r="E45" s="19"/>
      <c r="F45" s="5"/>
      <c r="G45" s="28"/>
      <c r="H45" s="19"/>
      <c r="Q45" s="5"/>
      <c r="R45" s="9"/>
    </row>
    <row r="46">
      <c r="A46" s="39">
        <v>45819.0</v>
      </c>
      <c r="B46" s="4" t="s">
        <v>76</v>
      </c>
      <c r="C46" s="21">
        <v>3.74</v>
      </c>
      <c r="E46" s="19"/>
      <c r="F46" s="5"/>
      <c r="G46" s="28"/>
      <c r="H46" s="19"/>
      <c r="Q46" s="5"/>
      <c r="R46" s="9"/>
    </row>
    <row r="47">
      <c r="A47" s="39">
        <v>45819.0</v>
      </c>
      <c r="B47" s="4" t="s">
        <v>140</v>
      </c>
      <c r="C47" s="21">
        <v>12.75</v>
      </c>
      <c r="E47" s="19"/>
      <c r="F47" s="5"/>
      <c r="G47" s="28"/>
      <c r="H47" s="19"/>
      <c r="Q47" s="5"/>
      <c r="R47" s="9"/>
    </row>
    <row r="48">
      <c r="A48" s="39">
        <v>45820.0</v>
      </c>
      <c r="B48" s="4" t="s">
        <v>140</v>
      </c>
      <c r="C48" s="21">
        <v>12.5</v>
      </c>
      <c r="E48" s="19"/>
      <c r="F48" s="5"/>
      <c r="G48" s="28"/>
      <c r="H48" s="19"/>
      <c r="Q48" s="5"/>
      <c r="R48" s="9"/>
    </row>
    <row r="49">
      <c r="A49" s="39">
        <v>45820.0</v>
      </c>
      <c r="B49" s="4" t="s">
        <v>76</v>
      </c>
      <c r="C49" s="21">
        <v>0.99</v>
      </c>
      <c r="E49" s="19"/>
      <c r="F49" s="5"/>
      <c r="G49" s="28"/>
      <c r="H49" s="19"/>
      <c r="Q49" s="5"/>
      <c r="R49" s="9"/>
    </row>
    <row r="50">
      <c r="A50" s="39">
        <v>45820.0</v>
      </c>
      <c r="B50" s="4" t="s">
        <v>127</v>
      </c>
      <c r="C50" s="21">
        <v>7.0</v>
      </c>
      <c r="E50" s="19"/>
      <c r="F50" s="5"/>
      <c r="G50" s="28"/>
      <c r="H50" s="19"/>
      <c r="Q50" s="5"/>
      <c r="R50" s="9"/>
    </row>
    <row r="51">
      <c r="A51" s="39">
        <v>45821.0</v>
      </c>
      <c r="B51" s="4" t="s">
        <v>66</v>
      </c>
      <c r="C51" s="21">
        <v>5.85</v>
      </c>
      <c r="E51" s="19"/>
      <c r="F51" s="5"/>
      <c r="G51" s="28"/>
      <c r="H51" s="19"/>
      <c r="Q51" s="5"/>
      <c r="R51" s="9"/>
    </row>
    <row r="52">
      <c r="A52" s="39">
        <v>45821.0</v>
      </c>
      <c r="B52" s="4" t="s">
        <v>47</v>
      </c>
      <c r="C52" s="21">
        <v>4.75</v>
      </c>
      <c r="E52" s="19"/>
      <c r="F52" s="5"/>
      <c r="G52" s="28"/>
      <c r="H52" s="19"/>
      <c r="Q52" s="5"/>
      <c r="R52" s="9"/>
    </row>
    <row r="53">
      <c r="A53" s="39">
        <v>45822.0</v>
      </c>
      <c r="B53" s="4" t="s">
        <v>213</v>
      </c>
      <c r="C53" s="21">
        <v>17.0</v>
      </c>
      <c r="E53" s="19"/>
      <c r="F53" s="5"/>
      <c r="G53" s="28"/>
      <c r="H53" s="19"/>
      <c r="Q53" s="5"/>
      <c r="R53" s="9"/>
    </row>
    <row r="54">
      <c r="A54" s="39">
        <v>45822.0</v>
      </c>
      <c r="B54" s="4" t="s">
        <v>52</v>
      </c>
      <c r="C54" s="21">
        <v>8.99</v>
      </c>
      <c r="E54" s="19"/>
      <c r="F54" s="5"/>
      <c r="G54" s="28"/>
      <c r="H54" s="19"/>
      <c r="Q54" s="5"/>
      <c r="R54" s="9"/>
    </row>
    <row r="55">
      <c r="A55" s="39">
        <v>45822.0</v>
      </c>
      <c r="B55" s="4" t="s">
        <v>59</v>
      </c>
      <c r="C55" s="21">
        <v>15.2</v>
      </c>
      <c r="E55" s="19"/>
      <c r="F55" s="5"/>
      <c r="G55" s="28"/>
      <c r="H55" s="19"/>
      <c r="Q55" s="5"/>
      <c r="R55" s="9"/>
    </row>
    <row r="56">
      <c r="A56" s="39">
        <v>45822.0</v>
      </c>
      <c r="B56" s="4" t="s">
        <v>197</v>
      </c>
      <c r="C56" s="21">
        <v>16.0</v>
      </c>
      <c r="E56" s="19"/>
      <c r="F56" s="5"/>
      <c r="G56" s="28"/>
      <c r="H56" s="19"/>
      <c r="Q56" s="5"/>
      <c r="R56" s="9"/>
    </row>
    <row r="57">
      <c r="A57" s="39">
        <v>45822.0</v>
      </c>
      <c r="B57" s="4" t="s">
        <v>62</v>
      </c>
      <c r="C57" s="4">
        <v>4.5</v>
      </c>
      <c r="E57" s="19"/>
      <c r="F57" s="5"/>
      <c r="G57" s="28"/>
      <c r="H57" s="19"/>
      <c r="Q57" s="5"/>
      <c r="R57" s="9"/>
    </row>
    <row r="58">
      <c r="A58" s="39">
        <v>45822.0</v>
      </c>
      <c r="B58" s="4" t="s">
        <v>73</v>
      </c>
      <c r="C58" s="43">
        <v>8.93</v>
      </c>
      <c r="E58" s="19"/>
      <c r="F58" s="5"/>
      <c r="G58" s="28"/>
      <c r="H58" s="19"/>
      <c r="Q58" s="5"/>
      <c r="R58" s="9"/>
    </row>
    <row r="59">
      <c r="A59" s="39">
        <v>45822.0</v>
      </c>
      <c r="B59" s="4" t="s">
        <v>127</v>
      </c>
      <c r="C59" s="21">
        <v>2.0</v>
      </c>
      <c r="E59" s="19"/>
      <c r="F59" s="5"/>
      <c r="G59" s="28"/>
      <c r="H59" s="19"/>
      <c r="Q59" s="5"/>
      <c r="R59" s="9"/>
    </row>
    <row r="60">
      <c r="A60" s="39">
        <v>45823.0</v>
      </c>
      <c r="B60" s="4" t="s">
        <v>57</v>
      </c>
      <c r="C60" s="21">
        <v>1.5</v>
      </c>
      <c r="E60" s="19"/>
      <c r="F60" s="5"/>
      <c r="G60" s="28"/>
      <c r="H60" s="19"/>
      <c r="Q60" s="5"/>
      <c r="R60" s="9"/>
    </row>
    <row r="61">
      <c r="A61" s="39">
        <v>45823.0</v>
      </c>
      <c r="B61" s="4" t="s">
        <v>66</v>
      </c>
      <c r="C61" s="21">
        <v>9.5</v>
      </c>
      <c r="E61" s="19"/>
      <c r="F61" s="5"/>
      <c r="G61" s="28"/>
      <c r="H61" s="19"/>
      <c r="Q61" s="5"/>
      <c r="R61" s="9"/>
    </row>
    <row r="62">
      <c r="A62" s="39">
        <v>45824.0</v>
      </c>
      <c r="B62" s="4" t="s">
        <v>47</v>
      </c>
      <c r="C62" s="21">
        <v>11.57</v>
      </c>
      <c r="E62" s="19"/>
      <c r="F62" s="5"/>
      <c r="G62" s="28"/>
      <c r="H62" s="19"/>
      <c r="Q62" s="5"/>
      <c r="R62" s="9"/>
    </row>
    <row r="63">
      <c r="A63" s="39">
        <v>45825.0</v>
      </c>
      <c r="B63" s="4" t="s">
        <v>66</v>
      </c>
      <c r="C63" s="21">
        <v>4.37</v>
      </c>
      <c r="E63" s="19"/>
      <c r="F63" s="5"/>
      <c r="G63" s="28"/>
      <c r="H63" s="19"/>
      <c r="Q63" s="5"/>
      <c r="R63" s="9"/>
    </row>
    <row r="64">
      <c r="A64" s="39">
        <v>45825.0</v>
      </c>
      <c r="B64" s="4" t="s">
        <v>76</v>
      </c>
      <c r="C64" s="21">
        <v>7.0</v>
      </c>
      <c r="E64" s="19"/>
      <c r="F64" s="5"/>
      <c r="G64" s="28"/>
      <c r="H64" s="19"/>
      <c r="Q64" s="5"/>
      <c r="R64" s="9"/>
    </row>
    <row r="65">
      <c r="A65" s="39">
        <v>45826.0</v>
      </c>
      <c r="B65" s="4" t="s">
        <v>62</v>
      </c>
      <c r="C65" s="21">
        <v>4.4</v>
      </c>
      <c r="E65" s="19"/>
      <c r="F65" s="5"/>
      <c r="G65" s="28"/>
      <c r="H65" s="19"/>
      <c r="Q65" s="5"/>
      <c r="R65" s="9"/>
    </row>
    <row r="66">
      <c r="A66" s="39">
        <v>45826.0</v>
      </c>
      <c r="B66" s="4" t="s">
        <v>76</v>
      </c>
      <c r="C66" s="21">
        <v>4.0</v>
      </c>
      <c r="E66" s="19"/>
      <c r="F66" s="5"/>
      <c r="G66" s="28"/>
      <c r="H66" s="19"/>
      <c r="Q66" s="5"/>
      <c r="R66" s="9"/>
    </row>
    <row r="67">
      <c r="A67" s="39">
        <v>45826.0</v>
      </c>
      <c r="B67" s="4" t="s">
        <v>140</v>
      </c>
      <c r="C67" s="21">
        <v>6.0</v>
      </c>
      <c r="E67" s="19"/>
      <c r="F67" s="5"/>
      <c r="G67" s="28"/>
      <c r="H67" s="19"/>
      <c r="Q67" s="5"/>
      <c r="R67" s="9"/>
    </row>
    <row r="68">
      <c r="A68" s="39">
        <v>45826.0</v>
      </c>
      <c r="B68" s="4" t="s">
        <v>127</v>
      </c>
      <c r="C68" s="21">
        <v>7.0</v>
      </c>
      <c r="E68" s="19"/>
      <c r="F68" s="5"/>
      <c r="G68" s="28"/>
      <c r="H68" s="19"/>
      <c r="Q68" s="5"/>
      <c r="R68" s="9"/>
    </row>
    <row r="69">
      <c r="A69" s="39">
        <v>45827.0</v>
      </c>
      <c r="B69" s="4" t="s">
        <v>108</v>
      </c>
      <c r="C69" s="21">
        <v>2.5</v>
      </c>
      <c r="E69" s="19"/>
      <c r="F69" s="5"/>
      <c r="G69" s="28"/>
      <c r="H69" s="19"/>
      <c r="Q69" s="5"/>
      <c r="R69" s="9"/>
    </row>
    <row r="70">
      <c r="A70" s="39">
        <v>45827.0</v>
      </c>
      <c r="B70" s="4" t="s">
        <v>47</v>
      </c>
      <c r="C70" s="21">
        <v>15.05</v>
      </c>
      <c r="E70" s="19"/>
      <c r="F70" s="5"/>
      <c r="G70" s="28"/>
      <c r="H70" s="19"/>
      <c r="Q70" s="5"/>
      <c r="R70" s="9"/>
    </row>
    <row r="71">
      <c r="A71" s="39">
        <v>45827.0</v>
      </c>
      <c r="B71" s="4" t="s">
        <v>45</v>
      </c>
      <c r="C71" s="21">
        <v>20.55</v>
      </c>
      <c r="E71" s="19"/>
      <c r="F71" s="5"/>
      <c r="G71" s="28"/>
      <c r="H71" s="19"/>
      <c r="Q71" s="5"/>
      <c r="R71" s="9"/>
    </row>
    <row r="72">
      <c r="A72" s="39">
        <v>45827.0</v>
      </c>
      <c r="B72" s="4" t="s">
        <v>164</v>
      </c>
      <c r="C72" s="21">
        <v>18.5</v>
      </c>
      <c r="E72" s="19"/>
      <c r="F72" s="5"/>
      <c r="G72" s="28"/>
      <c r="H72" s="19"/>
      <c r="Q72" s="5"/>
      <c r="R72" s="9"/>
    </row>
    <row r="73">
      <c r="A73" s="39">
        <v>45828.0</v>
      </c>
      <c r="B73" s="4" t="s">
        <v>52</v>
      </c>
      <c r="C73" s="21">
        <v>7.0</v>
      </c>
      <c r="E73" s="19"/>
      <c r="F73" s="5"/>
      <c r="G73" s="28"/>
      <c r="H73" s="19"/>
      <c r="Q73" s="5"/>
      <c r="R73" s="9"/>
    </row>
    <row r="74">
      <c r="A74" s="39">
        <v>45828.0</v>
      </c>
      <c r="B74" s="4" t="s">
        <v>127</v>
      </c>
      <c r="C74" s="21">
        <v>5.8</v>
      </c>
      <c r="E74" s="19"/>
      <c r="F74" s="5"/>
      <c r="G74" s="28"/>
      <c r="H74" s="19"/>
      <c r="Q74" s="5"/>
      <c r="R74" s="9"/>
    </row>
    <row r="75">
      <c r="A75" s="39">
        <v>45828.0</v>
      </c>
      <c r="B75" s="4" t="s">
        <v>45</v>
      </c>
      <c r="C75" s="21">
        <f>17.4+7.95</f>
        <v>25.35</v>
      </c>
      <c r="E75" s="19"/>
      <c r="F75" s="5"/>
      <c r="G75" s="28"/>
      <c r="H75" s="19"/>
      <c r="Q75" s="5"/>
      <c r="R75" s="9"/>
    </row>
    <row r="76">
      <c r="A76" s="39">
        <v>45828.0</v>
      </c>
      <c r="B76" s="4" t="s">
        <v>214</v>
      </c>
      <c r="C76" s="21">
        <v>74.93</v>
      </c>
      <c r="E76" s="19"/>
      <c r="F76" s="5"/>
      <c r="G76" s="28"/>
      <c r="H76" s="19"/>
      <c r="Q76" s="5"/>
      <c r="R76" s="9"/>
    </row>
    <row r="77">
      <c r="A77" s="39">
        <v>45829.0</v>
      </c>
      <c r="B77" s="4" t="s">
        <v>45</v>
      </c>
      <c r="C77" s="21">
        <f>14.1</f>
        <v>14.1</v>
      </c>
      <c r="E77" s="19"/>
      <c r="F77" s="5"/>
      <c r="G77" s="28"/>
      <c r="H77" s="19"/>
      <c r="Q77" s="5"/>
      <c r="R77" s="9"/>
    </row>
    <row r="78">
      <c r="A78" s="39">
        <v>45829.0</v>
      </c>
      <c r="B78" s="4" t="s">
        <v>66</v>
      </c>
      <c r="C78" s="4">
        <v>3.8</v>
      </c>
      <c r="E78" s="19"/>
      <c r="F78" s="5"/>
      <c r="G78" s="28"/>
      <c r="H78" s="19"/>
      <c r="Q78" s="5"/>
      <c r="R78" s="9"/>
    </row>
    <row r="79">
      <c r="A79" s="39">
        <v>45829.0</v>
      </c>
      <c r="B79" s="4" t="s">
        <v>76</v>
      </c>
      <c r="C79" s="21">
        <v>3.8</v>
      </c>
      <c r="E79" s="19"/>
      <c r="F79" s="5"/>
      <c r="G79" s="28"/>
      <c r="H79" s="19"/>
      <c r="Q79" s="5"/>
      <c r="R79" s="9"/>
    </row>
    <row r="80">
      <c r="A80" s="39">
        <v>45830.0</v>
      </c>
      <c r="B80" s="4" t="s">
        <v>57</v>
      </c>
      <c r="C80" s="21">
        <v>2.18</v>
      </c>
      <c r="E80" s="19"/>
      <c r="F80" s="5"/>
      <c r="G80" s="28"/>
      <c r="H80" s="19"/>
      <c r="Q80" s="5"/>
      <c r="R80" s="9"/>
    </row>
    <row r="81">
      <c r="A81" s="39">
        <v>45830.0</v>
      </c>
      <c r="B81" s="4" t="s">
        <v>52</v>
      </c>
      <c r="C81" s="21">
        <v>10.0</v>
      </c>
      <c r="E81" s="19"/>
      <c r="F81" s="5"/>
      <c r="G81" s="28"/>
      <c r="H81" s="19"/>
      <c r="Q81" s="5"/>
      <c r="R81" s="9"/>
    </row>
    <row r="82">
      <c r="A82" s="39">
        <v>45831.0</v>
      </c>
      <c r="B82" s="4" t="s">
        <v>66</v>
      </c>
      <c r="C82" s="21">
        <v>6.2</v>
      </c>
      <c r="E82" s="19"/>
      <c r="F82" s="5"/>
      <c r="G82" s="28"/>
      <c r="H82" s="19"/>
      <c r="Q82" s="5"/>
      <c r="R82" s="9"/>
    </row>
    <row r="83">
      <c r="A83" s="39">
        <v>45831.0</v>
      </c>
      <c r="B83" s="4" t="s">
        <v>66</v>
      </c>
      <c r="C83" s="21">
        <v>6.8</v>
      </c>
      <c r="E83" s="19"/>
      <c r="F83" s="5"/>
      <c r="G83" s="28"/>
      <c r="H83" s="19"/>
      <c r="Q83" s="5"/>
      <c r="R83" s="9"/>
    </row>
    <row r="84">
      <c r="A84" s="39">
        <v>45831.0</v>
      </c>
      <c r="B84" s="4" t="s">
        <v>66</v>
      </c>
      <c r="C84" s="21">
        <v>13.65</v>
      </c>
      <c r="E84" s="19"/>
      <c r="F84" s="5"/>
      <c r="G84" s="28"/>
      <c r="H84" s="19"/>
      <c r="Q84" s="5"/>
      <c r="R84" s="9"/>
    </row>
    <row r="85">
      <c r="A85" s="39">
        <v>45832.0</v>
      </c>
      <c r="B85" s="4" t="s">
        <v>100</v>
      </c>
      <c r="C85" s="21">
        <v>42.74</v>
      </c>
      <c r="E85" s="19"/>
      <c r="F85" s="5"/>
      <c r="G85" s="28"/>
      <c r="H85" s="19"/>
      <c r="Q85" s="5"/>
      <c r="R85" s="9"/>
    </row>
    <row r="86">
      <c r="A86" s="39">
        <v>45832.0</v>
      </c>
      <c r="B86" s="4" t="s">
        <v>47</v>
      </c>
      <c r="C86" s="21">
        <v>4.85</v>
      </c>
      <c r="E86" s="19"/>
      <c r="F86" s="5"/>
      <c r="G86" s="28"/>
      <c r="H86" s="19"/>
      <c r="Q86" s="5"/>
      <c r="R86" s="9"/>
    </row>
    <row r="87">
      <c r="A87" s="39">
        <v>45833.0</v>
      </c>
      <c r="B87" s="4" t="s">
        <v>209</v>
      </c>
      <c r="C87" s="21">
        <v>5.98</v>
      </c>
      <c r="E87" s="19"/>
      <c r="F87" s="5"/>
      <c r="G87" s="28"/>
      <c r="H87" s="19"/>
      <c r="Q87" s="5"/>
      <c r="R87" s="9"/>
    </row>
    <row r="88">
      <c r="A88" s="39">
        <v>45833.0</v>
      </c>
      <c r="B88" s="4" t="s">
        <v>127</v>
      </c>
      <c r="C88" s="21">
        <v>7.0</v>
      </c>
      <c r="E88" s="19"/>
      <c r="F88" s="5"/>
      <c r="G88" s="28"/>
      <c r="H88" s="19"/>
      <c r="Q88" s="5"/>
      <c r="R88" s="9"/>
    </row>
    <row r="89">
      <c r="A89" s="39">
        <v>45833.0</v>
      </c>
      <c r="B89" s="4" t="s">
        <v>62</v>
      </c>
      <c r="C89" s="21">
        <v>3.95</v>
      </c>
      <c r="E89" s="19"/>
      <c r="F89" s="5"/>
      <c r="G89" s="28"/>
      <c r="H89" s="19"/>
      <c r="Q89" s="5"/>
      <c r="R89" s="9"/>
    </row>
    <row r="90">
      <c r="A90" s="39">
        <v>45833.0</v>
      </c>
      <c r="B90" s="4" t="s">
        <v>47</v>
      </c>
      <c r="C90" s="21">
        <v>18.44</v>
      </c>
      <c r="E90" s="19"/>
      <c r="F90" s="5"/>
      <c r="G90" s="28"/>
      <c r="H90" s="19"/>
      <c r="Q90" s="5"/>
      <c r="R90" s="9"/>
    </row>
    <row r="91">
      <c r="A91" s="39">
        <v>45834.0</v>
      </c>
      <c r="B91" s="4" t="s">
        <v>47</v>
      </c>
      <c r="C91" s="21">
        <v>3.88</v>
      </c>
      <c r="E91" s="19"/>
      <c r="F91" s="5"/>
      <c r="G91" s="28"/>
      <c r="H91" s="19"/>
      <c r="Q91" s="5"/>
      <c r="R91" s="9"/>
    </row>
    <row r="92">
      <c r="A92" s="39">
        <v>45834.0</v>
      </c>
      <c r="B92" s="4" t="s">
        <v>45</v>
      </c>
      <c r="C92" s="21">
        <f>(13.7*2)+13.6</f>
        <v>41</v>
      </c>
      <c r="E92" s="19"/>
      <c r="F92" s="5"/>
      <c r="G92" s="28"/>
      <c r="H92" s="19"/>
      <c r="Q92" s="5"/>
      <c r="R92" s="9"/>
    </row>
    <row r="93">
      <c r="A93" s="39">
        <v>45834.0</v>
      </c>
      <c r="B93" s="4" t="s">
        <v>52</v>
      </c>
      <c r="C93" s="21">
        <v>9.62</v>
      </c>
      <c r="E93" s="19"/>
      <c r="F93" s="5"/>
      <c r="G93" s="28"/>
      <c r="H93" s="19"/>
      <c r="Q93" s="5"/>
      <c r="R93" s="9"/>
    </row>
    <row r="94">
      <c r="A94" s="39">
        <v>45835.0</v>
      </c>
      <c r="B94" s="4" t="s">
        <v>52</v>
      </c>
      <c r="C94" s="21">
        <v>7.82</v>
      </c>
      <c r="E94" s="19"/>
      <c r="F94" s="5"/>
      <c r="G94" s="28"/>
      <c r="H94" s="19"/>
      <c r="Q94" s="5"/>
      <c r="R94" s="9"/>
    </row>
    <row r="95">
      <c r="A95" s="39">
        <v>45835.0</v>
      </c>
      <c r="B95" s="4" t="s">
        <v>210</v>
      </c>
      <c r="C95" s="21">
        <v>54.49</v>
      </c>
      <c r="E95" s="19"/>
      <c r="F95" s="5"/>
      <c r="G95" s="28"/>
      <c r="H95" s="19"/>
      <c r="Q95" s="5"/>
      <c r="R95" s="9"/>
    </row>
    <row r="96">
      <c r="A96" s="39">
        <v>45835.0</v>
      </c>
      <c r="B96" s="4" t="s">
        <v>168</v>
      </c>
      <c r="C96" s="21">
        <v>5.8</v>
      </c>
      <c r="E96" s="19"/>
      <c r="F96" s="5"/>
      <c r="G96" s="28"/>
      <c r="H96" s="19"/>
      <c r="Q96" s="5"/>
      <c r="R96" s="9"/>
    </row>
    <row r="97">
      <c r="A97" s="39">
        <v>45835.0</v>
      </c>
      <c r="B97" s="4" t="s">
        <v>215</v>
      </c>
      <c r="C97" s="21">
        <v>9.5</v>
      </c>
      <c r="E97" s="19"/>
      <c r="F97" s="5"/>
      <c r="G97" s="28"/>
      <c r="H97" s="19"/>
      <c r="Q97" s="5"/>
      <c r="R97" s="9"/>
    </row>
    <row r="98">
      <c r="A98" s="39">
        <v>45836.0</v>
      </c>
      <c r="B98" s="4" t="s">
        <v>59</v>
      </c>
      <c r="C98" s="21">
        <v>17.1</v>
      </c>
      <c r="E98" s="19"/>
      <c r="F98" s="5"/>
      <c r="G98" s="28"/>
      <c r="H98" s="19"/>
      <c r="Q98" s="5"/>
      <c r="R98" s="9"/>
    </row>
    <row r="99">
      <c r="A99" s="39">
        <v>45836.0</v>
      </c>
      <c r="B99" s="4" t="s">
        <v>73</v>
      </c>
      <c r="C99" s="21">
        <v>4.5</v>
      </c>
      <c r="E99" s="19"/>
      <c r="F99" s="5"/>
      <c r="G99" s="28"/>
      <c r="H99" s="19"/>
      <c r="Q99" s="5"/>
      <c r="R99" s="9"/>
    </row>
    <row r="100">
      <c r="A100" s="39">
        <v>45837.0</v>
      </c>
      <c r="B100" s="4" t="s">
        <v>207</v>
      </c>
      <c r="C100" s="21">
        <v>39.8</v>
      </c>
      <c r="E100" s="19"/>
      <c r="F100" s="5"/>
      <c r="G100" s="28"/>
      <c r="H100" s="19"/>
      <c r="Q100" s="5"/>
      <c r="R100" s="9"/>
    </row>
    <row r="101">
      <c r="A101" s="39">
        <v>45837.0</v>
      </c>
      <c r="B101" s="4" t="s">
        <v>47</v>
      </c>
      <c r="C101" s="21">
        <v>14.97</v>
      </c>
      <c r="E101" s="19"/>
      <c r="F101" s="5"/>
      <c r="G101" s="28"/>
      <c r="H101" s="19"/>
      <c r="Q101" s="5"/>
      <c r="R101" s="9"/>
    </row>
    <row r="102">
      <c r="A102" s="39">
        <v>45838.0</v>
      </c>
      <c r="B102" s="4" t="s">
        <v>66</v>
      </c>
      <c r="C102" s="21">
        <v>13.2</v>
      </c>
      <c r="E102" s="19"/>
      <c r="F102" s="5"/>
      <c r="G102" s="28"/>
      <c r="H102" s="19"/>
      <c r="Q102" s="5"/>
      <c r="R102" s="9"/>
    </row>
    <row r="103">
      <c r="A103" s="39">
        <v>45838.0</v>
      </c>
      <c r="B103" s="4" t="s">
        <v>45</v>
      </c>
      <c r="C103" s="21">
        <v>14.25</v>
      </c>
      <c r="E103" s="19"/>
      <c r="F103" s="5"/>
      <c r="G103" s="28"/>
      <c r="H103" s="19"/>
      <c r="Q103" s="5"/>
      <c r="R103" s="9"/>
    </row>
    <row r="104">
      <c r="A104" s="39">
        <v>45838.0</v>
      </c>
      <c r="B104" s="4" t="s">
        <v>127</v>
      </c>
      <c r="C104" s="21">
        <v>5.8</v>
      </c>
      <c r="E104" s="19"/>
      <c r="F104" s="5"/>
      <c r="G104" s="28"/>
      <c r="H104" s="19"/>
      <c r="Q104" s="5"/>
      <c r="R104" s="9"/>
    </row>
    <row r="105">
      <c r="A105" s="44"/>
      <c r="C105" s="5"/>
      <c r="E105" s="19"/>
      <c r="F105" s="5"/>
      <c r="G105" s="28"/>
      <c r="H105" s="19"/>
      <c r="Q105" s="5"/>
      <c r="R105" s="9"/>
    </row>
    <row r="106">
      <c r="A106" s="44"/>
      <c r="C106" s="5"/>
      <c r="E106" s="19"/>
      <c r="F106" s="5"/>
      <c r="G106" s="28"/>
      <c r="H106" s="19"/>
      <c r="Q106" s="5"/>
      <c r="R106" s="9"/>
    </row>
    <row r="107">
      <c r="A107" s="44"/>
      <c r="C107" s="5"/>
      <c r="E107" s="19"/>
      <c r="F107" s="5"/>
      <c r="G107" s="28"/>
      <c r="H107" s="19"/>
      <c r="Q107" s="5"/>
      <c r="R107" s="9"/>
    </row>
    <row r="108">
      <c r="A108" s="44"/>
      <c r="C108" s="5"/>
      <c r="E108" s="19"/>
      <c r="F108" s="5"/>
      <c r="G108" s="28"/>
      <c r="H108" s="19"/>
      <c r="Q108" s="5"/>
      <c r="R108" s="9"/>
    </row>
    <row r="109">
      <c r="A109" s="44"/>
      <c r="C109" s="5"/>
      <c r="E109" s="19"/>
      <c r="F109" s="5"/>
      <c r="G109" s="28"/>
      <c r="H109" s="19"/>
      <c r="Q109" s="5"/>
      <c r="R109" s="9"/>
    </row>
    <row r="110">
      <c r="A110" s="44"/>
      <c r="C110" s="5"/>
      <c r="E110" s="19"/>
      <c r="F110" s="5"/>
      <c r="G110" s="28"/>
      <c r="H110" s="19"/>
      <c r="Q110" s="5"/>
      <c r="R110" s="9"/>
    </row>
    <row r="111">
      <c r="A111" s="44"/>
      <c r="C111" s="5"/>
      <c r="E111" s="19"/>
      <c r="F111" s="5"/>
      <c r="G111" s="28"/>
      <c r="H111" s="19"/>
      <c r="Q111" s="5"/>
      <c r="R111" s="9"/>
    </row>
    <row r="112">
      <c r="A112" s="44"/>
      <c r="C112" s="5"/>
      <c r="E112" s="19"/>
      <c r="F112" s="5"/>
      <c r="G112" s="28"/>
      <c r="H112" s="19"/>
      <c r="Q112" s="5"/>
      <c r="R112" s="9"/>
    </row>
    <row r="113">
      <c r="A113" s="44"/>
      <c r="C113" s="5"/>
      <c r="E113" s="19"/>
      <c r="F113" s="5"/>
      <c r="G113" s="28"/>
      <c r="H113" s="19"/>
      <c r="Q113" s="5"/>
      <c r="R113" s="9"/>
    </row>
    <row r="114">
      <c r="A114" s="44"/>
      <c r="C114" s="5"/>
      <c r="E114" s="19"/>
      <c r="F114" s="5"/>
      <c r="G114" s="28"/>
      <c r="H114" s="19"/>
      <c r="Q114" s="5"/>
      <c r="R114" s="9"/>
    </row>
    <row r="115">
      <c r="A115" s="44"/>
      <c r="C115" s="5"/>
      <c r="E115" s="19"/>
      <c r="F115" s="5"/>
      <c r="G115" s="28"/>
      <c r="H115" s="19"/>
      <c r="Q115" s="5"/>
      <c r="R115" s="9"/>
    </row>
    <row r="116">
      <c r="A116" s="44"/>
      <c r="C116" s="5"/>
      <c r="E116" s="19"/>
      <c r="F116" s="5"/>
      <c r="G116" s="28"/>
      <c r="H116" s="19"/>
      <c r="Q116" s="5"/>
      <c r="R116" s="9"/>
    </row>
    <row r="117">
      <c r="A117" s="44"/>
      <c r="C117" s="5"/>
      <c r="E117" s="19"/>
      <c r="F117" s="5"/>
      <c r="G117" s="28"/>
      <c r="H117" s="19"/>
      <c r="Q117" s="5"/>
      <c r="R117" s="9"/>
    </row>
    <row r="118">
      <c r="A118" s="44"/>
      <c r="C118" s="5"/>
      <c r="E118" s="19"/>
      <c r="F118" s="5"/>
      <c r="G118" s="28"/>
      <c r="H118" s="19"/>
      <c r="Q118" s="5"/>
      <c r="R118" s="9"/>
    </row>
    <row r="119">
      <c r="A119" s="44"/>
      <c r="C119" s="5"/>
      <c r="E119" s="19"/>
      <c r="F119" s="5"/>
      <c r="G119" s="28"/>
      <c r="H119" s="19"/>
      <c r="Q119" s="5"/>
      <c r="R119" s="9"/>
    </row>
    <row r="120">
      <c r="A120" s="44"/>
      <c r="C120" s="5"/>
      <c r="E120" s="19"/>
      <c r="F120" s="5"/>
      <c r="G120" s="28"/>
      <c r="H120" s="19"/>
      <c r="Q120" s="5"/>
      <c r="R120" s="9"/>
    </row>
    <row r="121">
      <c r="A121" s="44"/>
      <c r="C121" s="5"/>
      <c r="E121" s="19"/>
      <c r="F121" s="5"/>
      <c r="G121" s="28"/>
      <c r="H121" s="19"/>
      <c r="Q121" s="5"/>
      <c r="R121" s="9"/>
    </row>
    <row r="122">
      <c r="A122" s="44"/>
      <c r="C122" s="5"/>
      <c r="E122" s="19"/>
      <c r="F122" s="5"/>
      <c r="G122" s="28"/>
      <c r="H122" s="19"/>
      <c r="Q122" s="5"/>
      <c r="R122" s="9"/>
    </row>
    <row r="123">
      <c r="A123" s="44"/>
      <c r="C123" s="5"/>
      <c r="E123" s="19"/>
      <c r="F123" s="5"/>
      <c r="G123" s="28"/>
      <c r="H123" s="19"/>
      <c r="Q123" s="5"/>
      <c r="R123" s="9"/>
    </row>
    <row r="124">
      <c r="A124" s="44"/>
      <c r="C124" s="5"/>
      <c r="E124" s="19"/>
      <c r="F124" s="5"/>
      <c r="G124" s="28"/>
      <c r="H124" s="19"/>
      <c r="Q124" s="5"/>
      <c r="R124" s="9"/>
    </row>
    <row r="125">
      <c r="A125" s="44"/>
      <c r="C125" s="5"/>
      <c r="E125" s="19"/>
      <c r="F125" s="5"/>
      <c r="G125" s="28"/>
      <c r="H125" s="19"/>
      <c r="Q125" s="5"/>
      <c r="R125" s="9"/>
    </row>
    <row r="126">
      <c r="A126" s="44"/>
      <c r="C126" s="5"/>
      <c r="E126" s="19"/>
      <c r="F126" s="5"/>
      <c r="G126" s="28"/>
      <c r="H126" s="19"/>
      <c r="Q126" s="5"/>
      <c r="R126" s="9"/>
    </row>
    <row r="127">
      <c r="A127" s="44"/>
      <c r="C127" s="5"/>
      <c r="E127" s="19"/>
      <c r="F127" s="5"/>
      <c r="G127" s="28"/>
      <c r="H127" s="19"/>
      <c r="Q127" s="5"/>
      <c r="R127" s="9"/>
    </row>
    <row r="128">
      <c r="A128" s="44"/>
      <c r="C128" s="5"/>
      <c r="E128" s="19"/>
      <c r="F128" s="5"/>
      <c r="G128" s="28"/>
      <c r="H128" s="19"/>
      <c r="Q128" s="5"/>
      <c r="R128" s="9"/>
    </row>
    <row r="129">
      <c r="A129" s="44"/>
      <c r="C129" s="5"/>
      <c r="E129" s="19"/>
      <c r="F129" s="5"/>
      <c r="G129" s="28"/>
      <c r="H129" s="19"/>
      <c r="Q129" s="5"/>
      <c r="R129" s="9"/>
    </row>
    <row r="130">
      <c r="A130" s="44"/>
      <c r="C130" s="5"/>
      <c r="E130" s="19"/>
      <c r="F130" s="5"/>
      <c r="G130" s="28"/>
      <c r="H130" s="19"/>
      <c r="Q130" s="5"/>
      <c r="R130" s="9"/>
    </row>
    <row r="131">
      <c r="A131" s="44"/>
      <c r="C131" s="5"/>
      <c r="E131" s="19"/>
      <c r="F131" s="5"/>
      <c r="G131" s="28"/>
      <c r="H131" s="19"/>
      <c r="Q131" s="5"/>
      <c r="R131" s="9"/>
    </row>
    <row r="132">
      <c r="A132" s="44"/>
      <c r="C132" s="5"/>
      <c r="E132" s="19"/>
      <c r="F132" s="5"/>
      <c r="G132" s="28"/>
      <c r="H132" s="19"/>
      <c r="Q132" s="5"/>
      <c r="R132" s="9"/>
    </row>
    <row r="133">
      <c r="A133" s="44"/>
      <c r="C133" s="5"/>
      <c r="E133" s="19"/>
      <c r="F133" s="5"/>
      <c r="G133" s="28"/>
      <c r="H133" s="19"/>
      <c r="Q133" s="5"/>
      <c r="R133" s="9"/>
    </row>
    <row r="134">
      <c r="A134" s="44"/>
      <c r="C134" s="5"/>
      <c r="E134" s="19"/>
      <c r="F134" s="5"/>
      <c r="G134" s="28"/>
      <c r="H134" s="19"/>
      <c r="Q134" s="5"/>
      <c r="R134" s="9"/>
    </row>
    <row r="135">
      <c r="A135" s="44"/>
      <c r="C135" s="5"/>
      <c r="E135" s="19"/>
      <c r="F135" s="5"/>
      <c r="G135" s="28"/>
      <c r="H135" s="19"/>
      <c r="Q135" s="5"/>
      <c r="R135" s="9"/>
    </row>
    <row r="136">
      <c r="A136" s="44"/>
      <c r="C136" s="5"/>
      <c r="E136" s="19"/>
      <c r="F136" s="5"/>
      <c r="G136" s="28"/>
      <c r="H136" s="19"/>
      <c r="Q136" s="5"/>
      <c r="R136" s="9"/>
    </row>
    <row r="137">
      <c r="A137" s="44"/>
      <c r="C137" s="5"/>
      <c r="E137" s="19"/>
      <c r="F137" s="5"/>
      <c r="G137" s="28"/>
      <c r="H137" s="19"/>
      <c r="Q137" s="5"/>
      <c r="R137" s="9"/>
    </row>
    <row r="138">
      <c r="A138" s="44"/>
      <c r="C138" s="5"/>
      <c r="E138" s="19"/>
      <c r="F138" s="5"/>
      <c r="G138" s="28"/>
      <c r="H138" s="19"/>
      <c r="Q138" s="5"/>
      <c r="R138" s="9"/>
    </row>
    <row r="139">
      <c r="A139" s="44"/>
      <c r="C139" s="5"/>
      <c r="E139" s="19"/>
      <c r="F139" s="5"/>
      <c r="G139" s="28"/>
      <c r="H139" s="19"/>
      <c r="Q139" s="5"/>
      <c r="R139" s="9"/>
    </row>
    <row r="140">
      <c r="A140" s="44"/>
      <c r="C140" s="5"/>
      <c r="E140" s="19"/>
      <c r="F140" s="5"/>
      <c r="G140" s="28"/>
      <c r="H140" s="19"/>
      <c r="Q140" s="5"/>
      <c r="R140" s="9"/>
    </row>
    <row r="141">
      <c r="A141" s="44"/>
      <c r="C141" s="5"/>
      <c r="E141" s="19"/>
      <c r="F141" s="5"/>
      <c r="G141" s="28"/>
      <c r="H141" s="19"/>
      <c r="Q141" s="5"/>
      <c r="R141" s="9"/>
    </row>
    <row r="142">
      <c r="A142" s="44"/>
      <c r="C142" s="5"/>
      <c r="E142" s="19"/>
      <c r="F142" s="5"/>
      <c r="G142" s="28"/>
      <c r="H142" s="19"/>
      <c r="Q142" s="5"/>
      <c r="R142" s="9"/>
    </row>
    <row r="143">
      <c r="A143" s="44"/>
      <c r="C143" s="5"/>
      <c r="E143" s="19"/>
      <c r="F143" s="5"/>
      <c r="G143" s="28"/>
      <c r="H143" s="19"/>
      <c r="Q143" s="5"/>
      <c r="R143" s="9"/>
    </row>
    <row r="144">
      <c r="A144" s="44"/>
      <c r="C144" s="5"/>
      <c r="E144" s="19"/>
      <c r="F144" s="5"/>
      <c r="G144" s="28"/>
      <c r="H144" s="19"/>
      <c r="Q144" s="5"/>
      <c r="R144" s="9"/>
    </row>
    <row r="145">
      <c r="A145" s="44"/>
      <c r="C145" s="5"/>
      <c r="E145" s="19"/>
      <c r="F145" s="5"/>
      <c r="G145" s="28"/>
      <c r="H145" s="19"/>
      <c r="Q145" s="5"/>
      <c r="R145" s="9"/>
    </row>
    <row r="146">
      <c r="A146" s="44"/>
      <c r="C146" s="5"/>
      <c r="E146" s="19"/>
      <c r="F146" s="5"/>
      <c r="G146" s="28"/>
      <c r="H146" s="19"/>
      <c r="Q146" s="5"/>
      <c r="R146" s="9"/>
    </row>
    <row r="147">
      <c r="A147" s="44"/>
      <c r="C147" s="5"/>
      <c r="E147" s="19"/>
      <c r="F147" s="5"/>
      <c r="G147" s="28"/>
      <c r="H147" s="19"/>
      <c r="Q147" s="5"/>
      <c r="R147" s="9"/>
    </row>
    <row r="148">
      <c r="A148" s="44"/>
      <c r="C148" s="5"/>
      <c r="E148" s="19"/>
      <c r="F148" s="5"/>
      <c r="G148" s="28"/>
      <c r="H148" s="19"/>
      <c r="Q148" s="5"/>
      <c r="R148" s="9"/>
    </row>
    <row r="149">
      <c r="A149" s="44"/>
      <c r="C149" s="5"/>
      <c r="E149" s="19"/>
      <c r="F149" s="5"/>
      <c r="G149" s="28"/>
      <c r="H149" s="19"/>
      <c r="Q149" s="5"/>
      <c r="R149" s="9"/>
    </row>
    <row r="150">
      <c r="A150" s="44"/>
      <c r="C150" s="5"/>
      <c r="E150" s="19"/>
      <c r="F150" s="5"/>
      <c r="G150" s="28"/>
      <c r="H150" s="19"/>
      <c r="Q150" s="5"/>
      <c r="R150" s="9"/>
    </row>
    <row r="151">
      <c r="A151" s="44"/>
      <c r="C151" s="5"/>
      <c r="E151" s="19"/>
      <c r="F151" s="5"/>
      <c r="G151" s="28"/>
      <c r="H151" s="19"/>
      <c r="Q151" s="5"/>
      <c r="R151" s="9"/>
    </row>
    <row r="152">
      <c r="A152" s="44"/>
      <c r="C152" s="5"/>
      <c r="E152" s="19"/>
      <c r="F152" s="5"/>
      <c r="G152" s="28"/>
      <c r="H152" s="19"/>
      <c r="Q152" s="5"/>
      <c r="R152" s="9"/>
    </row>
    <row r="153">
      <c r="A153" s="44"/>
      <c r="C153" s="5"/>
      <c r="E153" s="19"/>
      <c r="F153" s="5"/>
      <c r="G153" s="28"/>
      <c r="H153" s="19"/>
      <c r="Q153" s="5"/>
      <c r="R153" s="9"/>
    </row>
    <row r="154">
      <c r="A154" s="44"/>
      <c r="C154" s="5"/>
      <c r="E154" s="19"/>
      <c r="F154" s="5"/>
      <c r="G154" s="28"/>
      <c r="H154" s="19"/>
      <c r="Q154" s="5"/>
      <c r="R154" s="9"/>
    </row>
    <row r="155">
      <c r="A155" s="44"/>
      <c r="C155" s="5"/>
      <c r="E155" s="19"/>
      <c r="F155" s="5"/>
      <c r="G155" s="28"/>
      <c r="H155" s="19"/>
      <c r="Q155" s="5"/>
      <c r="R155" s="9"/>
    </row>
    <row r="156">
      <c r="A156" s="44"/>
      <c r="C156" s="5"/>
      <c r="E156" s="19"/>
      <c r="F156" s="5"/>
      <c r="G156" s="28"/>
      <c r="H156" s="19"/>
      <c r="Q156" s="5"/>
      <c r="R156" s="9"/>
    </row>
    <row r="157">
      <c r="A157" s="44"/>
      <c r="C157" s="5"/>
      <c r="E157" s="19"/>
      <c r="F157" s="5"/>
      <c r="G157" s="28"/>
      <c r="H157" s="19"/>
      <c r="Q157" s="5"/>
      <c r="R157" s="9"/>
    </row>
    <row r="158">
      <c r="A158" s="44"/>
      <c r="C158" s="5"/>
      <c r="E158" s="19"/>
      <c r="F158" s="5"/>
      <c r="G158" s="28"/>
      <c r="H158" s="19"/>
      <c r="Q158" s="5"/>
      <c r="R158" s="9"/>
    </row>
    <row r="159">
      <c r="A159" s="44"/>
      <c r="C159" s="5"/>
      <c r="E159" s="19"/>
      <c r="F159" s="5"/>
      <c r="G159" s="28"/>
      <c r="H159" s="19"/>
      <c r="Q159" s="5"/>
      <c r="R159" s="9"/>
    </row>
    <row r="160">
      <c r="A160" s="44"/>
      <c r="C160" s="5"/>
      <c r="E160" s="19"/>
      <c r="F160" s="5"/>
      <c r="G160" s="28"/>
      <c r="H160" s="19"/>
      <c r="Q160" s="5"/>
      <c r="R160" s="9"/>
    </row>
    <row r="161">
      <c r="A161" s="44"/>
      <c r="C161" s="5"/>
      <c r="E161" s="19"/>
      <c r="F161" s="5"/>
      <c r="G161" s="28"/>
      <c r="H161" s="19"/>
      <c r="Q161" s="5"/>
      <c r="R161" s="9"/>
    </row>
    <row r="162">
      <c r="A162" s="44"/>
      <c r="C162" s="5"/>
      <c r="E162" s="19"/>
      <c r="F162" s="5"/>
      <c r="G162" s="28"/>
      <c r="H162" s="19"/>
      <c r="Q162" s="5"/>
      <c r="R162" s="9"/>
    </row>
    <row r="163">
      <c r="A163" s="44"/>
      <c r="C163" s="5"/>
      <c r="E163" s="19"/>
      <c r="F163" s="5"/>
      <c r="G163" s="28"/>
      <c r="H163" s="19"/>
      <c r="Q163" s="5"/>
      <c r="R163" s="9"/>
    </row>
    <row r="164">
      <c r="A164" s="44"/>
      <c r="C164" s="5"/>
      <c r="E164" s="19"/>
      <c r="F164" s="5"/>
      <c r="G164" s="28"/>
      <c r="H164" s="19"/>
      <c r="Q164" s="5"/>
      <c r="R164" s="9"/>
    </row>
    <row r="165">
      <c r="A165" s="44"/>
      <c r="C165" s="5"/>
      <c r="E165" s="19"/>
      <c r="F165" s="5"/>
      <c r="G165" s="28"/>
      <c r="H165" s="19"/>
      <c r="Q165" s="5"/>
      <c r="R165" s="9"/>
    </row>
    <row r="166">
      <c r="A166" s="44"/>
      <c r="C166" s="5"/>
      <c r="E166" s="19"/>
      <c r="F166" s="5"/>
      <c r="G166" s="28"/>
      <c r="H166" s="19"/>
      <c r="Q166" s="5"/>
      <c r="R166" s="9"/>
    </row>
    <row r="167">
      <c r="A167" s="44"/>
      <c r="C167" s="5"/>
      <c r="E167" s="19"/>
      <c r="F167" s="5"/>
      <c r="G167" s="28"/>
      <c r="H167" s="19"/>
      <c r="Q167" s="5"/>
      <c r="R167" s="9"/>
    </row>
    <row r="168">
      <c r="A168" s="44"/>
      <c r="C168" s="5"/>
      <c r="E168" s="19"/>
      <c r="F168" s="5"/>
      <c r="G168" s="28"/>
      <c r="H168" s="19"/>
      <c r="Q168" s="5"/>
      <c r="R168" s="9"/>
    </row>
    <row r="169">
      <c r="A169" s="44"/>
      <c r="C169" s="5"/>
      <c r="E169" s="19"/>
      <c r="F169" s="5"/>
      <c r="G169" s="28"/>
      <c r="H169" s="19"/>
      <c r="Q169" s="5"/>
      <c r="R169" s="9"/>
    </row>
    <row r="170">
      <c r="A170" s="44"/>
      <c r="C170" s="5"/>
      <c r="E170" s="19"/>
      <c r="F170" s="5"/>
      <c r="G170" s="28"/>
      <c r="H170" s="19"/>
      <c r="Q170" s="5"/>
      <c r="R170" s="9"/>
    </row>
    <row r="171">
      <c r="A171" s="44"/>
      <c r="C171" s="5"/>
      <c r="E171" s="19"/>
      <c r="F171" s="5"/>
      <c r="G171" s="28"/>
      <c r="H171" s="19"/>
      <c r="Q171" s="5"/>
      <c r="R171" s="9"/>
    </row>
    <row r="172">
      <c r="A172" s="44"/>
      <c r="C172" s="5"/>
      <c r="E172" s="19"/>
      <c r="F172" s="5"/>
      <c r="G172" s="28"/>
      <c r="H172" s="19"/>
      <c r="Q172" s="5"/>
      <c r="R172" s="9"/>
    </row>
    <row r="173">
      <c r="A173" s="44"/>
      <c r="C173" s="5"/>
      <c r="E173" s="19"/>
      <c r="F173" s="5"/>
      <c r="G173" s="28"/>
      <c r="H173" s="19"/>
      <c r="Q173" s="5"/>
      <c r="R173" s="9"/>
    </row>
    <row r="174">
      <c r="A174" s="44"/>
      <c r="C174" s="5"/>
      <c r="E174" s="19"/>
      <c r="F174" s="5"/>
      <c r="G174" s="28"/>
      <c r="H174" s="19"/>
      <c r="Q174" s="5"/>
      <c r="R174" s="9"/>
    </row>
    <row r="175">
      <c r="A175" s="44"/>
      <c r="C175" s="5"/>
      <c r="E175" s="19"/>
      <c r="F175" s="5"/>
      <c r="G175" s="28"/>
      <c r="H175" s="19"/>
      <c r="Q175" s="5"/>
      <c r="R175" s="9"/>
    </row>
    <row r="176">
      <c r="A176" s="44"/>
      <c r="C176" s="5"/>
      <c r="E176" s="19"/>
      <c r="F176" s="5"/>
      <c r="G176" s="28"/>
      <c r="H176" s="19"/>
      <c r="Q176" s="5"/>
      <c r="R176" s="9"/>
    </row>
    <row r="177">
      <c r="A177" s="44"/>
      <c r="C177" s="5"/>
      <c r="E177" s="19"/>
      <c r="F177" s="5"/>
      <c r="G177" s="28"/>
      <c r="H177" s="19"/>
      <c r="Q177" s="5"/>
      <c r="R177" s="9"/>
    </row>
    <row r="178">
      <c r="A178" s="44"/>
      <c r="C178" s="5"/>
      <c r="E178" s="19"/>
      <c r="F178" s="5"/>
      <c r="G178" s="28"/>
      <c r="H178" s="19"/>
      <c r="Q178" s="5"/>
      <c r="R178" s="9"/>
    </row>
    <row r="179">
      <c r="A179" s="44"/>
      <c r="C179" s="5"/>
      <c r="E179" s="19"/>
      <c r="F179" s="5"/>
      <c r="G179" s="28"/>
      <c r="H179" s="19"/>
      <c r="Q179" s="5"/>
      <c r="R179" s="9"/>
    </row>
    <row r="180">
      <c r="A180" s="44"/>
      <c r="C180" s="5"/>
      <c r="E180" s="19"/>
      <c r="F180" s="5"/>
      <c r="G180" s="28"/>
      <c r="H180" s="19"/>
      <c r="Q180" s="5"/>
      <c r="R180" s="9"/>
    </row>
    <row r="181">
      <c r="A181" s="44"/>
      <c r="C181" s="5"/>
      <c r="E181" s="19"/>
      <c r="F181" s="5"/>
      <c r="G181" s="28"/>
      <c r="H181" s="19"/>
      <c r="Q181" s="5"/>
      <c r="R181" s="9"/>
    </row>
    <row r="182">
      <c r="A182" s="44"/>
      <c r="C182" s="5"/>
      <c r="E182" s="19"/>
      <c r="F182" s="5"/>
      <c r="G182" s="28"/>
      <c r="H182" s="19"/>
      <c r="Q182" s="5"/>
      <c r="R182" s="9"/>
    </row>
    <row r="183">
      <c r="A183" s="44"/>
      <c r="C183" s="5"/>
      <c r="E183" s="19"/>
      <c r="F183" s="5"/>
      <c r="G183" s="28"/>
      <c r="H183" s="19"/>
      <c r="Q183" s="5"/>
      <c r="R183" s="9"/>
    </row>
    <row r="184">
      <c r="A184" s="44"/>
      <c r="C184" s="5"/>
      <c r="E184" s="19"/>
      <c r="F184" s="5"/>
      <c r="G184" s="28"/>
      <c r="H184" s="19"/>
      <c r="Q184" s="5"/>
      <c r="R184" s="9"/>
    </row>
    <row r="185">
      <c r="A185" s="44"/>
      <c r="C185" s="5"/>
      <c r="E185" s="19"/>
      <c r="F185" s="5"/>
      <c r="G185" s="28"/>
      <c r="H185" s="19"/>
      <c r="Q185" s="5"/>
      <c r="R185" s="9"/>
    </row>
    <row r="186">
      <c r="A186" s="44"/>
      <c r="C186" s="5"/>
      <c r="E186" s="19"/>
      <c r="F186" s="5"/>
      <c r="G186" s="28"/>
      <c r="H186" s="19"/>
      <c r="Q186" s="5"/>
      <c r="R186" s="9"/>
    </row>
    <row r="187">
      <c r="A187" s="44"/>
      <c r="C187" s="5"/>
      <c r="E187" s="19"/>
      <c r="F187" s="5"/>
      <c r="G187" s="28"/>
      <c r="H187" s="19"/>
      <c r="Q187" s="5"/>
      <c r="R187" s="9"/>
    </row>
    <row r="188">
      <c r="A188" s="44"/>
      <c r="C188" s="5"/>
      <c r="E188" s="19"/>
      <c r="F188" s="5"/>
      <c r="G188" s="28"/>
      <c r="H188" s="19"/>
      <c r="Q188" s="5"/>
      <c r="R188" s="9"/>
    </row>
    <row r="189">
      <c r="A189" s="44"/>
      <c r="C189" s="5"/>
      <c r="E189" s="19"/>
      <c r="F189" s="5"/>
      <c r="G189" s="28"/>
      <c r="H189" s="19"/>
      <c r="Q189" s="5"/>
      <c r="R189" s="9"/>
    </row>
    <row r="190">
      <c r="A190" s="44"/>
      <c r="C190" s="5"/>
      <c r="E190" s="19"/>
      <c r="F190" s="5"/>
      <c r="G190" s="28"/>
      <c r="H190" s="19"/>
      <c r="Q190" s="5"/>
      <c r="R190" s="9"/>
    </row>
    <row r="191">
      <c r="A191" s="44"/>
      <c r="C191" s="5"/>
      <c r="E191" s="19"/>
      <c r="F191" s="5"/>
      <c r="G191" s="28"/>
      <c r="H191" s="19"/>
      <c r="Q191" s="5"/>
      <c r="R191" s="9"/>
    </row>
    <row r="192">
      <c r="A192" s="44"/>
      <c r="C192" s="5"/>
      <c r="E192" s="19"/>
      <c r="F192" s="5"/>
      <c r="G192" s="28"/>
      <c r="H192" s="19"/>
      <c r="Q192" s="5"/>
      <c r="R192" s="9"/>
    </row>
    <row r="193">
      <c r="A193" s="44"/>
      <c r="C193" s="5"/>
      <c r="E193" s="19"/>
      <c r="F193" s="5"/>
      <c r="G193" s="28"/>
      <c r="H193" s="19"/>
      <c r="Q193" s="5"/>
      <c r="R193" s="9"/>
    </row>
    <row r="194">
      <c r="A194" s="44"/>
      <c r="C194" s="5"/>
      <c r="E194" s="19"/>
      <c r="F194" s="5"/>
      <c r="G194" s="28"/>
      <c r="H194" s="19"/>
      <c r="Q194" s="5"/>
      <c r="R194" s="9"/>
    </row>
    <row r="195">
      <c r="A195" s="44"/>
      <c r="C195" s="5"/>
      <c r="E195" s="19"/>
      <c r="F195" s="5"/>
      <c r="G195" s="28"/>
      <c r="H195" s="19"/>
      <c r="Q195" s="5"/>
      <c r="R195" s="9"/>
    </row>
    <row r="196">
      <c r="A196" s="44"/>
      <c r="C196" s="5"/>
      <c r="E196" s="19"/>
      <c r="F196" s="5"/>
      <c r="G196" s="28"/>
      <c r="H196" s="19"/>
      <c r="Q196" s="5"/>
      <c r="R196" s="9"/>
    </row>
    <row r="197">
      <c r="A197" s="44"/>
      <c r="C197" s="5"/>
      <c r="E197" s="19"/>
      <c r="F197" s="5"/>
      <c r="G197" s="28"/>
      <c r="H197" s="19"/>
      <c r="Q197" s="5"/>
      <c r="R197" s="9"/>
    </row>
    <row r="198">
      <c r="A198" s="44"/>
      <c r="C198" s="5"/>
      <c r="E198" s="19"/>
      <c r="F198" s="5"/>
      <c r="G198" s="28"/>
      <c r="H198" s="19"/>
      <c r="Q198" s="5"/>
      <c r="R198" s="9"/>
    </row>
    <row r="199">
      <c r="A199" s="44"/>
      <c r="C199" s="5"/>
      <c r="E199" s="19"/>
      <c r="F199" s="5"/>
      <c r="G199" s="28"/>
      <c r="H199" s="19"/>
      <c r="Q199" s="5"/>
      <c r="R199" s="9"/>
    </row>
    <row r="200">
      <c r="A200" s="44"/>
      <c r="C200" s="5"/>
      <c r="E200" s="19"/>
      <c r="F200" s="5"/>
      <c r="G200" s="28"/>
      <c r="H200" s="19"/>
      <c r="Q200" s="5"/>
      <c r="R200" s="9"/>
    </row>
    <row r="201">
      <c r="A201" s="44"/>
      <c r="C201" s="5"/>
      <c r="E201" s="19"/>
      <c r="F201" s="5"/>
      <c r="G201" s="28"/>
      <c r="H201" s="19"/>
      <c r="Q201" s="5"/>
      <c r="R201" s="9"/>
    </row>
    <row r="202">
      <c r="A202" s="44"/>
      <c r="C202" s="5"/>
      <c r="E202" s="19"/>
      <c r="F202" s="5"/>
      <c r="G202" s="28"/>
      <c r="H202" s="19"/>
      <c r="Q202" s="5"/>
      <c r="R202" s="9"/>
    </row>
    <row r="203">
      <c r="A203" s="44"/>
      <c r="C203" s="5"/>
      <c r="E203" s="19"/>
      <c r="F203" s="5"/>
      <c r="G203" s="28"/>
      <c r="H203" s="19"/>
      <c r="Q203" s="5"/>
      <c r="R203" s="9"/>
    </row>
    <row r="204">
      <c r="A204" s="44"/>
      <c r="C204" s="5"/>
      <c r="E204" s="19"/>
      <c r="F204" s="5"/>
      <c r="G204" s="28"/>
      <c r="H204" s="19"/>
      <c r="Q204" s="5"/>
      <c r="R204" s="9"/>
    </row>
    <row r="205">
      <c r="A205" s="44"/>
      <c r="C205" s="5"/>
      <c r="E205" s="19"/>
      <c r="F205" s="5"/>
      <c r="G205" s="28"/>
      <c r="H205" s="19"/>
      <c r="Q205" s="5"/>
      <c r="R205" s="9"/>
    </row>
    <row r="206">
      <c r="A206" s="44"/>
      <c r="C206" s="5"/>
      <c r="E206" s="19"/>
      <c r="F206" s="5"/>
      <c r="G206" s="28"/>
      <c r="H206" s="19"/>
      <c r="Q206" s="5"/>
      <c r="R206" s="9"/>
    </row>
    <row r="207">
      <c r="A207" s="44"/>
      <c r="C207" s="5"/>
      <c r="E207" s="19"/>
      <c r="F207" s="5"/>
      <c r="G207" s="28"/>
      <c r="H207" s="19"/>
      <c r="Q207" s="5"/>
      <c r="R207" s="9"/>
    </row>
    <row r="208">
      <c r="A208" s="44"/>
      <c r="C208" s="5"/>
      <c r="E208" s="19"/>
      <c r="F208" s="5"/>
      <c r="G208" s="28"/>
      <c r="H208" s="19"/>
      <c r="Q208" s="5"/>
      <c r="R208" s="9"/>
    </row>
    <row r="209">
      <c r="A209" s="44"/>
      <c r="C209" s="5"/>
      <c r="E209" s="19"/>
      <c r="F209" s="5"/>
      <c r="G209" s="28"/>
      <c r="H209" s="19"/>
      <c r="Q209" s="5"/>
      <c r="R209" s="9"/>
    </row>
    <row r="210">
      <c r="A210" s="44"/>
      <c r="C210" s="5"/>
      <c r="E210" s="19"/>
      <c r="F210" s="5"/>
      <c r="G210" s="28"/>
      <c r="H210" s="19"/>
      <c r="Q210" s="5"/>
      <c r="R210" s="9"/>
    </row>
    <row r="211">
      <c r="A211" s="44"/>
      <c r="C211" s="5"/>
      <c r="E211" s="19"/>
      <c r="F211" s="5"/>
      <c r="G211" s="28"/>
      <c r="H211" s="19"/>
      <c r="Q211" s="5"/>
      <c r="R211" s="9"/>
    </row>
    <row r="212">
      <c r="A212" s="44"/>
      <c r="C212" s="5"/>
      <c r="E212" s="19"/>
      <c r="F212" s="5"/>
      <c r="G212" s="28"/>
      <c r="H212" s="19"/>
      <c r="Q212" s="5"/>
      <c r="R212" s="9"/>
    </row>
    <row r="213">
      <c r="A213" s="44"/>
      <c r="C213" s="5"/>
      <c r="E213" s="19"/>
      <c r="F213" s="5"/>
      <c r="G213" s="28"/>
      <c r="H213" s="19"/>
      <c r="Q213" s="5"/>
      <c r="R213" s="9"/>
    </row>
    <row r="214">
      <c r="A214" s="44"/>
      <c r="C214" s="5"/>
      <c r="E214" s="19"/>
      <c r="F214" s="5"/>
      <c r="G214" s="28"/>
      <c r="H214" s="19"/>
      <c r="Q214" s="5"/>
      <c r="R214" s="9"/>
    </row>
    <row r="215">
      <c r="A215" s="44"/>
      <c r="C215" s="5"/>
      <c r="E215" s="19"/>
      <c r="F215" s="5"/>
      <c r="G215" s="28"/>
      <c r="H215" s="19"/>
      <c r="Q215" s="5"/>
      <c r="R215" s="9"/>
    </row>
    <row r="216">
      <c r="A216" s="44"/>
      <c r="C216" s="5"/>
      <c r="E216" s="19"/>
      <c r="F216" s="5"/>
      <c r="G216" s="28"/>
      <c r="H216" s="19"/>
      <c r="Q216" s="5"/>
      <c r="R216" s="9"/>
    </row>
    <row r="217">
      <c r="A217" s="44"/>
      <c r="C217" s="5"/>
      <c r="E217" s="19"/>
      <c r="F217" s="5"/>
      <c r="G217" s="28"/>
      <c r="H217" s="19"/>
      <c r="Q217" s="5"/>
      <c r="R217" s="9"/>
    </row>
    <row r="218">
      <c r="A218" s="44"/>
      <c r="C218" s="5"/>
      <c r="E218" s="19"/>
      <c r="F218" s="5"/>
      <c r="G218" s="28"/>
      <c r="H218" s="19"/>
      <c r="Q218" s="5"/>
      <c r="R218" s="9"/>
    </row>
    <row r="219">
      <c r="A219" s="44"/>
      <c r="C219" s="5"/>
      <c r="E219" s="19"/>
      <c r="F219" s="5"/>
      <c r="G219" s="28"/>
      <c r="H219" s="19"/>
      <c r="Q219" s="5"/>
      <c r="R219" s="9"/>
    </row>
    <row r="220">
      <c r="A220" s="44"/>
      <c r="C220" s="5"/>
      <c r="E220" s="19"/>
      <c r="F220" s="5"/>
      <c r="G220" s="28"/>
      <c r="H220" s="19"/>
      <c r="Q220" s="5"/>
      <c r="R220" s="9"/>
    </row>
    <row r="221">
      <c r="A221" s="44"/>
      <c r="C221" s="5"/>
      <c r="E221" s="19"/>
      <c r="F221" s="5"/>
      <c r="G221" s="28"/>
      <c r="H221" s="19"/>
      <c r="Q221" s="5"/>
      <c r="R221" s="9"/>
    </row>
    <row r="222">
      <c r="A222" s="44"/>
      <c r="C222" s="5"/>
      <c r="E222" s="19"/>
      <c r="F222" s="5"/>
      <c r="G222" s="28"/>
      <c r="H222" s="19"/>
      <c r="Q222" s="5"/>
      <c r="R222" s="9"/>
    </row>
    <row r="223">
      <c r="A223" s="44"/>
      <c r="C223" s="5"/>
      <c r="E223" s="19"/>
      <c r="F223" s="5"/>
      <c r="G223" s="28"/>
      <c r="H223" s="19"/>
      <c r="Q223" s="5"/>
      <c r="R223" s="9"/>
    </row>
    <row r="224">
      <c r="A224" s="44"/>
      <c r="C224" s="5"/>
      <c r="E224" s="19"/>
      <c r="F224" s="5"/>
      <c r="G224" s="28"/>
      <c r="H224" s="19"/>
      <c r="Q224" s="5"/>
      <c r="R224" s="9"/>
    </row>
    <row r="225">
      <c r="A225" s="44"/>
      <c r="C225" s="5"/>
      <c r="E225" s="19"/>
      <c r="F225" s="5"/>
      <c r="G225" s="28"/>
      <c r="H225" s="19"/>
      <c r="Q225" s="5"/>
      <c r="R225" s="9"/>
    </row>
    <row r="226">
      <c r="A226" s="44"/>
      <c r="C226" s="5"/>
      <c r="E226" s="19"/>
      <c r="F226" s="5"/>
      <c r="G226" s="28"/>
      <c r="H226" s="19"/>
      <c r="Q226" s="5"/>
      <c r="R226" s="9"/>
    </row>
    <row r="227">
      <c r="A227" s="44"/>
      <c r="C227" s="5"/>
      <c r="E227" s="19"/>
      <c r="F227" s="5"/>
      <c r="G227" s="28"/>
      <c r="H227" s="19"/>
      <c r="Q227" s="5"/>
      <c r="R227" s="9"/>
    </row>
    <row r="228">
      <c r="A228" s="44"/>
      <c r="C228" s="5"/>
      <c r="E228" s="19"/>
      <c r="F228" s="5"/>
      <c r="G228" s="28"/>
      <c r="H228" s="19"/>
      <c r="Q228" s="5"/>
      <c r="R228" s="9"/>
    </row>
    <row r="229">
      <c r="A229" s="44"/>
      <c r="C229" s="5"/>
      <c r="E229" s="19"/>
      <c r="F229" s="5"/>
      <c r="G229" s="28"/>
      <c r="H229" s="19"/>
      <c r="Q229" s="5"/>
      <c r="R229" s="9"/>
    </row>
    <row r="230">
      <c r="A230" s="44"/>
      <c r="C230" s="5"/>
      <c r="E230" s="19"/>
      <c r="F230" s="5"/>
      <c r="G230" s="28"/>
      <c r="H230" s="19"/>
      <c r="Q230" s="5"/>
      <c r="R230" s="9"/>
    </row>
    <row r="231">
      <c r="A231" s="44"/>
      <c r="C231" s="5"/>
      <c r="E231" s="19"/>
      <c r="F231" s="5"/>
      <c r="G231" s="28"/>
      <c r="H231" s="19"/>
      <c r="Q231" s="5"/>
      <c r="R231" s="9"/>
    </row>
    <row r="232">
      <c r="A232" s="44"/>
      <c r="C232" s="5"/>
      <c r="E232" s="19"/>
      <c r="F232" s="5"/>
      <c r="G232" s="28"/>
      <c r="H232" s="19"/>
      <c r="Q232" s="5"/>
      <c r="R232" s="9"/>
    </row>
    <row r="233">
      <c r="A233" s="44"/>
      <c r="C233" s="5"/>
      <c r="E233" s="19"/>
      <c r="F233" s="5"/>
      <c r="G233" s="28"/>
      <c r="H233" s="19"/>
      <c r="Q233" s="5"/>
      <c r="R233" s="9"/>
    </row>
    <row r="234">
      <c r="A234" s="44"/>
      <c r="C234" s="5"/>
      <c r="E234" s="19"/>
      <c r="F234" s="5"/>
      <c r="G234" s="28"/>
      <c r="H234" s="19"/>
      <c r="Q234" s="5"/>
      <c r="R234" s="9"/>
    </row>
    <row r="235">
      <c r="A235" s="44"/>
      <c r="C235" s="5"/>
      <c r="E235" s="19"/>
      <c r="F235" s="5"/>
      <c r="G235" s="28"/>
      <c r="H235" s="19"/>
      <c r="Q235" s="5"/>
      <c r="R235" s="9"/>
    </row>
    <row r="236">
      <c r="A236" s="44"/>
      <c r="C236" s="5"/>
      <c r="E236" s="19"/>
      <c r="F236" s="5"/>
      <c r="G236" s="28"/>
      <c r="H236" s="19"/>
      <c r="Q236" s="5"/>
      <c r="R236" s="9"/>
    </row>
    <row r="237">
      <c r="A237" s="44"/>
      <c r="C237" s="5"/>
      <c r="E237" s="19"/>
      <c r="F237" s="5"/>
      <c r="G237" s="28"/>
      <c r="H237" s="19"/>
      <c r="Q237" s="5"/>
      <c r="R237" s="9"/>
    </row>
    <row r="238">
      <c r="A238" s="44"/>
      <c r="C238" s="5"/>
      <c r="E238" s="19"/>
      <c r="F238" s="5"/>
      <c r="G238" s="28"/>
      <c r="H238" s="19"/>
      <c r="Q238" s="5"/>
      <c r="R238" s="9"/>
    </row>
    <row r="239">
      <c r="A239" s="44"/>
      <c r="C239" s="5"/>
      <c r="E239" s="19"/>
      <c r="F239" s="5"/>
      <c r="G239" s="28"/>
      <c r="H239" s="19"/>
      <c r="Q239" s="5"/>
      <c r="R239" s="9"/>
    </row>
    <row r="240">
      <c r="A240" s="44"/>
      <c r="C240" s="5"/>
      <c r="E240" s="19"/>
      <c r="F240" s="5"/>
      <c r="G240" s="28"/>
      <c r="H240" s="19"/>
      <c r="Q240" s="5"/>
      <c r="R240" s="9"/>
    </row>
    <row r="241">
      <c r="A241" s="44"/>
      <c r="C241" s="5"/>
      <c r="E241" s="19"/>
      <c r="F241" s="5"/>
      <c r="G241" s="28"/>
      <c r="H241" s="19"/>
      <c r="Q241" s="5"/>
      <c r="R241" s="9"/>
    </row>
    <row r="242">
      <c r="A242" s="44"/>
      <c r="C242" s="5"/>
      <c r="E242" s="19"/>
      <c r="F242" s="5"/>
      <c r="G242" s="28"/>
      <c r="H242" s="19"/>
      <c r="Q242" s="5"/>
      <c r="R242" s="9"/>
    </row>
    <row r="243">
      <c r="A243" s="44"/>
      <c r="C243" s="5"/>
      <c r="E243" s="19"/>
      <c r="F243" s="5"/>
      <c r="G243" s="28"/>
      <c r="H243" s="19"/>
      <c r="Q243" s="5"/>
      <c r="R243" s="9"/>
    </row>
    <row r="244">
      <c r="A244" s="44"/>
      <c r="C244" s="5"/>
      <c r="E244" s="19"/>
      <c r="F244" s="5"/>
      <c r="G244" s="28"/>
      <c r="H244" s="19"/>
      <c r="Q244" s="5"/>
      <c r="R244" s="9"/>
    </row>
    <row r="245">
      <c r="A245" s="44"/>
      <c r="C245" s="5"/>
      <c r="E245" s="19"/>
      <c r="F245" s="5"/>
      <c r="G245" s="28"/>
      <c r="H245" s="19"/>
      <c r="Q245" s="5"/>
      <c r="R245" s="9"/>
    </row>
    <row r="246">
      <c r="A246" s="44"/>
      <c r="C246" s="5"/>
      <c r="E246" s="19"/>
      <c r="F246" s="5"/>
      <c r="G246" s="28"/>
      <c r="H246" s="19"/>
      <c r="Q246" s="5"/>
      <c r="R246" s="9"/>
    </row>
    <row r="247">
      <c r="A247" s="44"/>
      <c r="C247" s="5"/>
      <c r="E247" s="19"/>
      <c r="F247" s="5"/>
      <c r="G247" s="28"/>
      <c r="H247" s="19"/>
      <c r="Q247" s="5"/>
      <c r="R247" s="9"/>
    </row>
    <row r="248">
      <c r="A248" s="44"/>
      <c r="C248" s="5"/>
      <c r="E248" s="19"/>
      <c r="F248" s="5"/>
      <c r="G248" s="28"/>
      <c r="H248" s="19"/>
      <c r="Q248" s="5"/>
      <c r="R248" s="9"/>
    </row>
    <row r="249">
      <c r="A249" s="44"/>
      <c r="C249" s="5"/>
      <c r="E249" s="19"/>
      <c r="F249" s="5"/>
      <c r="G249" s="28"/>
      <c r="H249" s="19"/>
      <c r="Q249" s="5"/>
      <c r="R249" s="9"/>
    </row>
    <row r="250">
      <c r="A250" s="44"/>
      <c r="C250" s="5"/>
      <c r="E250" s="19"/>
      <c r="F250" s="5"/>
      <c r="G250" s="28"/>
      <c r="H250" s="19"/>
      <c r="Q250" s="5"/>
      <c r="R250" s="9"/>
    </row>
    <row r="251">
      <c r="A251" s="44"/>
      <c r="C251" s="5"/>
      <c r="E251" s="19"/>
      <c r="F251" s="5"/>
      <c r="G251" s="28"/>
      <c r="H251" s="19"/>
      <c r="Q251" s="5"/>
      <c r="R251" s="9"/>
    </row>
    <row r="252">
      <c r="A252" s="44"/>
      <c r="C252" s="5"/>
      <c r="E252" s="19"/>
      <c r="F252" s="5"/>
      <c r="G252" s="28"/>
      <c r="H252" s="19"/>
      <c r="Q252" s="5"/>
      <c r="R252" s="9"/>
    </row>
    <row r="253">
      <c r="A253" s="44"/>
      <c r="C253" s="5"/>
      <c r="E253" s="19"/>
      <c r="F253" s="5"/>
      <c r="G253" s="28"/>
      <c r="H253" s="19"/>
      <c r="Q253" s="5"/>
      <c r="R253" s="9"/>
    </row>
    <row r="254">
      <c r="A254" s="44"/>
      <c r="C254" s="5"/>
      <c r="E254" s="19"/>
      <c r="F254" s="5"/>
      <c r="G254" s="28"/>
      <c r="H254" s="19"/>
      <c r="Q254" s="5"/>
      <c r="R254" s="9"/>
    </row>
    <row r="255">
      <c r="A255" s="44"/>
      <c r="C255" s="5"/>
      <c r="E255" s="19"/>
      <c r="F255" s="5"/>
      <c r="G255" s="28"/>
      <c r="H255" s="19"/>
      <c r="Q255" s="5"/>
      <c r="R255" s="9"/>
    </row>
    <row r="256">
      <c r="A256" s="44"/>
      <c r="C256" s="5"/>
      <c r="E256" s="19"/>
      <c r="F256" s="5"/>
      <c r="G256" s="28"/>
      <c r="H256" s="19"/>
      <c r="Q256" s="5"/>
      <c r="R256" s="9"/>
    </row>
    <row r="257">
      <c r="A257" s="44"/>
      <c r="C257" s="5"/>
      <c r="E257" s="19"/>
      <c r="F257" s="5"/>
      <c r="G257" s="28"/>
      <c r="H257" s="19"/>
      <c r="Q257" s="5"/>
      <c r="R257" s="9"/>
    </row>
    <row r="258">
      <c r="A258" s="44"/>
      <c r="C258" s="5"/>
      <c r="E258" s="19"/>
      <c r="F258" s="5"/>
      <c r="G258" s="28"/>
      <c r="H258" s="19"/>
      <c r="Q258" s="5"/>
      <c r="R258" s="9"/>
    </row>
    <row r="259">
      <c r="A259" s="44"/>
      <c r="C259" s="5"/>
      <c r="E259" s="19"/>
      <c r="F259" s="5"/>
      <c r="G259" s="28"/>
      <c r="H259" s="19"/>
      <c r="Q259" s="5"/>
      <c r="R259" s="9"/>
    </row>
    <row r="260">
      <c r="A260" s="44"/>
      <c r="C260" s="5"/>
      <c r="E260" s="19"/>
      <c r="F260" s="5"/>
      <c r="G260" s="28"/>
      <c r="H260" s="19"/>
      <c r="Q260" s="5"/>
      <c r="R260" s="9"/>
    </row>
    <row r="261">
      <c r="A261" s="44"/>
      <c r="C261" s="5"/>
      <c r="E261" s="19"/>
      <c r="F261" s="5"/>
      <c r="G261" s="28"/>
      <c r="H261" s="19"/>
      <c r="Q261" s="5"/>
      <c r="R261" s="9"/>
    </row>
    <row r="262">
      <c r="A262" s="44"/>
      <c r="C262" s="5"/>
      <c r="E262" s="19"/>
      <c r="F262" s="5"/>
      <c r="G262" s="28"/>
      <c r="H262" s="19"/>
      <c r="Q262" s="5"/>
      <c r="R262" s="9"/>
    </row>
    <row r="263">
      <c r="A263" s="44"/>
      <c r="C263" s="5"/>
      <c r="E263" s="19"/>
      <c r="F263" s="5"/>
      <c r="G263" s="28"/>
      <c r="H263" s="19"/>
      <c r="Q263" s="5"/>
      <c r="R263" s="9"/>
    </row>
    <row r="264">
      <c r="A264" s="44"/>
      <c r="C264" s="5"/>
      <c r="E264" s="19"/>
      <c r="F264" s="5"/>
      <c r="G264" s="28"/>
      <c r="H264" s="19"/>
      <c r="Q264" s="5"/>
      <c r="R264" s="9"/>
    </row>
    <row r="265">
      <c r="A265" s="44"/>
      <c r="C265" s="5"/>
      <c r="E265" s="19"/>
      <c r="F265" s="5"/>
      <c r="G265" s="28"/>
      <c r="H265" s="19"/>
      <c r="Q265" s="5"/>
      <c r="R265" s="9"/>
    </row>
    <row r="266">
      <c r="A266" s="44"/>
      <c r="C266" s="5"/>
      <c r="E266" s="19"/>
      <c r="F266" s="5"/>
      <c r="G266" s="28"/>
      <c r="H266" s="19"/>
      <c r="Q266" s="5"/>
      <c r="R266" s="9"/>
    </row>
    <row r="267">
      <c r="A267" s="44"/>
      <c r="C267" s="5"/>
      <c r="E267" s="19"/>
      <c r="F267" s="5"/>
      <c r="G267" s="28"/>
      <c r="H267" s="19"/>
      <c r="Q267" s="5"/>
      <c r="R267" s="9"/>
    </row>
    <row r="268">
      <c r="A268" s="44"/>
      <c r="C268" s="5"/>
      <c r="E268" s="19"/>
      <c r="F268" s="5"/>
      <c r="G268" s="28"/>
      <c r="H268" s="19"/>
      <c r="Q268" s="5"/>
      <c r="R268" s="9"/>
    </row>
    <row r="269">
      <c r="A269" s="44"/>
      <c r="C269" s="5"/>
      <c r="E269" s="19"/>
      <c r="F269" s="5"/>
      <c r="G269" s="28"/>
      <c r="H269" s="19"/>
      <c r="Q269" s="5"/>
      <c r="R269" s="9"/>
    </row>
    <row r="270">
      <c r="A270" s="44"/>
      <c r="C270" s="5"/>
      <c r="E270" s="19"/>
      <c r="F270" s="5"/>
      <c r="G270" s="28"/>
      <c r="H270" s="19"/>
      <c r="Q270" s="5"/>
      <c r="R270" s="9"/>
    </row>
    <row r="271">
      <c r="A271" s="44"/>
      <c r="C271" s="5"/>
      <c r="E271" s="19"/>
      <c r="F271" s="5"/>
      <c r="G271" s="28"/>
      <c r="H271" s="19"/>
      <c r="Q271" s="5"/>
      <c r="R271" s="9"/>
    </row>
    <row r="272">
      <c r="A272" s="44"/>
      <c r="C272" s="5"/>
      <c r="E272" s="19"/>
      <c r="F272" s="5"/>
      <c r="G272" s="28"/>
      <c r="H272" s="19"/>
      <c r="Q272" s="5"/>
      <c r="R272" s="9"/>
    </row>
    <row r="273">
      <c r="A273" s="44"/>
      <c r="C273" s="5"/>
      <c r="E273" s="19"/>
      <c r="F273" s="5"/>
      <c r="G273" s="28"/>
      <c r="H273" s="19"/>
      <c r="Q273" s="5"/>
      <c r="R273" s="9"/>
    </row>
    <row r="274">
      <c r="A274" s="44"/>
      <c r="C274" s="5"/>
      <c r="E274" s="19"/>
      <c r="F274" s="5"/>
      <c r="G274" s="28"/>
      <c r="H274" s="19"/>
      <c r="Q274" s="5"/>
      <c r="R274" s="9"/>
    </row>
    <row r="275">
      <c r="A275" s="44"/>
      <c r="C275" s="5"/>
      <c r="E275" s="19"/>
      <c r="F275" s="5"/>
      <c r="G275" s="28"/>
      <c r="H275" s="19"/>
      <c r="Q275" s="5"/>
      <c r="R275" s="9"/>
    </row>
    <row r="276">
      <c r="A276" s="44"/>
      <c r="C276" s="5"/>
      <c r="E276" s="19"/>
      <c r="F276" s="5"/>
      <c r="G276" s="28"/>
      <c r="H276" s="19"/>
      <c r="Q276" s="5"/>
      <c r="R276" s="9"/>
    </row>
    <row r="277">
      <c r="A277" s="44"/>
      <c r="C277" s="5"/>
      <c r="E277" s="19"/>
      <c r="F277" s="5"/>
      <c r="G277" s="28"/>
      <c r="H277" s="19"/>
      <c r="Q277" s="5"/>
      <c r="R277" s="9"/>
    </row>
    <row r="278">
      <c r="A278" s="44"/>
      <c r="C278" s="5"/>
      <c r="E278" s="19"/>
      <c r="F278" s="5"/>
      <c r="G278" s="28"/>
      <c r="H278" s="19"/>
      <c r="Q278" s="5"/>
      <c r="R278" s="9"/>
    </row>
    <row r="279">
      <c r="A279" s="44"/>
      <c r="C279" s="5"/>
      <c r="E279" s="19"/>
      <c r="F279" s="5"/>
      <c r="G279" s="28"/>
      <c r="H279" s="19"/>
      <c r="Q279" s="5"/>
      <c r="R279" s="9"/>
    </row>
    <row r="280">
      <c r="A280" s="44"/>
      <c r="C280" s="5"/>
      <c r="E280" s="19"/>
      <c r="F280" s="5"/>
      <c r="G280" s="28"/>
      <c r="H280" s="19"/>
      <c r="Q280" s="5"/>
      <c r="R280" s="9"/>
    </row>
    <row r="281">
      <c r="A281" s="44"/>
      <c r="C281" s="5"/>
      <c r="E281" s="19"/>
      <c r="F281" s="5"/>
      <c r="G281" s="28"/>
      <c r="H281" s="19"/>
      <c r="Q281" s="5"/>
      <c r="R281" s="9"/>
    </row>
    <row r="282">
      <c r="A282" s="44"/>
      <c r="C282" s="5"/>
      <c r="E282" s="19"/>
      <c r="F282" s="5"/>
      <c r="G282" s="28"/>
      <c r="H282" s="19"/>
      <c r="Q282" s="5"/>
      <c r="R282" s="9"/>
    </row>
    <row r="283">
      <c r="A283" s="44"/>
      <c r="C283" s="5"/>
      <c r="E283" s="19"/>
      <c r="F283" s="5"/>
      <c r="G283" s="28"/>
      <c r="H283" s="19"/>
      <c r="Q283" s="5"/>
      <c r="R283" s="9"/>
    </row>
    <row r="284">
      <c r="A284" s="44"/>
      <c r="C284" s="5"/>
      <c r="E284" s="19"/>
      <c r="F284" s="5"/>
      <c r="G284" s="28"/>
      <c r="H284" s="19"/>
      <c r="Q284" s="5"/>
      <c r="R284" s="9"/>
    </row>
    <row r="285">
      <c r="A285" s="44"/>
      <c r="C285" s="5"/>
      <c r="E285" s="19"/>
      <c r="F285" s="5"/>
      <c r="G285" s="28"/>
      <c r="H285" s="19"/>
      <c r="Q285" s="5"/>
      <c r="R285" s="9"/>
    </row>
    <row r="286">
      <c r="A286" s="44"/>
      <c r="C286" s="5"/>
      <c r="E286" s="19"/>
      <c r="F286" s="5"/>
      <c r="G286" s="28"/>
      <c r="H286" s="19"/>
      <c r="Q286" s="5"/>
      <c r="R286" s="9"/>
    </row>
    <row r="287">
      <c r="A287" s="44"/>
      <c r="C287" s="5"/>
      <c r="E287" s="19"/>
      <c r="F287" s="5"/>
      <c r="G287" s="28"/>
      <c r="H287" s="19"/>
      <c r="Q287" s="5"/>
      <c r="R287" s="9"/>
    </row>
    <row r="288">
      <c r="A288" s="44"/>
      <c r="C288" s="5"/>
      <c r="E288" s="19"/>
      <c r="F288" s="5"/>
      <c r="G288" s="28"/>
      <c r="H288" s="19"/>
      <c r="Q288" s="5"/>
      <c r="R288" s="9"/>
    </row>
    <row r="289">
      <c r="A289" s="44"/>
      <c r="C289" s="5"/>
      <c r="E289" s="19"/>
      <c r="F289" s="5"/>
      <c r="G289" s="28"/>
      <c r="H289" s="19"/>
      <c r="Q289" s="5"/>
      <c r="R289" s="9"/>
    </row>
    <row r="290">
      <c r="A290" s="44"/>
      <c r="C290" s="5"/>
      <c r="E290" s="19"/>
      <c r="F290" s="5"/>
      <c r="G290" s="28"/>
      <c r="H290" s="19"/>
      <c r="Q290" s="5"/>
      <c r="R290" s="9"/>
    </row>
    <row r="291">
      <c r="A291" s="44"/>
      <c r="C291" s="5"/>
      <c r="E291" s="19"/>
      <c r="F291" s="5"/>
      <c r="G291" s="28"/>
      <c r="H291" s="19"/>
      <c r="Q291" s="5"/>
      <c r="R291" s="9"/>
    </row>
    <row r="292">
      <c r="A292" s="44"/>
      <c r="C292" s="5"/>
      <c r="E292" s="19"/>
      <c r="F292" s="5"/>
      <c r="G292" s="28"/>
      <c r="H292" s="19"/>
      <c r="Q292" s="5"/>
      <c r="R292" s="9"/>
    </row>
    <row r="293">
      <c r="A293" s="44"/>
      <c r="C293" s="5"/>
      <c r="E293" s="19"/>
      <c r="F293" s="5"/>
      <c r="G293" s="28"/>
      <c r="H293" s="19"/>
      <c r="Q293" s="5"/>
      <c r="R293" s="9"/>
    </row>
    <row r="294">
      <c r="A294" s="44"/>
      <c r="C294" s="5"/>
      <c r="E294" s="19"/>
      <c r="F294" s="5"/>
      <c r="G294" s="28"/>
      <c r="H294" s="19"/>
      <c r="Q294" s="5"/>
      <c r="R294" s="9"/>
    </row>
    <row r="295">
      <c r="A295" s="44"/>
      <c r="C295" s="5"/>
      <c r="E295" s="19"/>
      <c r="F295" s="5"/>
      <c r="G295" s="28"/>
      <c r="H295" s="19"/>
      <c r="Q295" s="5"/>
      <c r="R295" s="9"/>
    </row>
    <row r="296">
      <c r="A296" s="44"/>
      <c r="C296" s="5"/>
      <c r="E296" s="19"/>
      <c r="F296" s="5"/>
      <c r="G296" s="28"/>
      <c r="H296" s="19"/>
      <c r="Q296" s="5"/>
      <c r="R296" s="9"/>
    </row>
    <row r="297">
      <c r="A297" s="44"/>
      <c r="C297" s="5"/>
      <c r="E297" s="19"/>
      <c r="F297" s="5"/>
      <c r="G297" s="28"/>
      <c r="H297" s="19"/>
      <c r="Q297" s="5"/>
      <c r="R297" s="9"/>
    </row>
    <row r="298">
      <c r="A298" s="44"/>
      <c r="C298" s="5"/>
      <c r="E298" s="19"/>
      <c r="F298" s="5"/>
      <c r="G298" s="28"/>
      <c r="H298" s="19"/>
      <c r="Q298" s="5"/>
      <c r="R298" s="9"/>
    </row>
    <row r="299">
      <c r="A299" s="44"/>
      <c r="C299" s="5"/>
      <c r="E299" s="19"/>
      <c r="F299" s="5"/>
      <c r="G299" s="28"/>
      <c r="H299" s="19"/>
      <c r="Q299" s="5"/>
      <c r="R299" s="9"/>
    </row>
    <row r="300">
      <c r="A300" s="44"/>
      <c r="C300" s="5"/>
      <c r="E300" s="19"/>
      <c r="F300" s="5"/>
      <c r="G300" s="28"/>
      <c r="H300" s="19"/>
      <c r="Q300" s="5"/>
      <c r="R300" s="9"/>
    </row>
    <row r="301">
      <c r="A301" s="44"/>
      <c r="C301" s="5"/>
      <c r="E301" s="19"/>
      <c r="F301" s="5"/>
      <c r="G301" s="28"/>
      <c r="H301" s="19"/>
      <c r="Q301" s="5"/>
      <c r="R301" s="9"/>
    </row>
    <row r="302">
      <c r="A302" s="44"/>
      <c r="C302" s="5"/>
      <c r="E302" s="19"/>
      <c r="F302" s="5"/>
      <c r="G302" s="28"/>
      <c r="H302" s="19"/>
      <c r="Q302" s="5"/>
      <c r="R302" s="9"/>
    </row>
    <row r="303">
      <c r="A303" s="44"/>
      <c r="C303" s="5"/>
      <c r="E303" s="19"/>
      <c r="F303" s="5"/>
      <c r="G303" s="28"/>
      <c r="H303" s="19"/>
      <c r="Q303" s="5"/>
      <c r="R303" s="9"/>
    </row>
    <row r="304">
      <c r="A304" s="44"/>
      <c r="C304" s="5"/>
      <c r="E304" s="19"/>
      <c r="F304" s="5"/>
      <c r="G304" s="28"/>
      <c r="H304" s="19"/>
      <c r="Q304" s="5"/>
      <c r="R304" s="9"/>
    </row>
    <row r="305">
      <c r="A305" s="44"/>
      <c r="C305" s="5"/>
      <c r="E305" s="19"/>
      <c r="F305" s="5"/>
      <c r="G305" s="28"/>
      <c r="H305" s="19"/>
      <c r="Q305" s="5"/>
      <c r="R305" s="9"/>
    </row>
    <row r="306">
      <c r="A306" s="44"/>
      <c r="C306" s="5"/>
      <c r="E306" s="19"/>
      <c r="F306" s="5"/>
      <c r="G306" s="28"/>
      <c r="H306" s="19"/>
      <c r="Q306" s="5"/>
      <c r="R306" s="9"/>
    </row>
    <row r="307">
      <c r="A307" s="44"/>
      <c r="C307" s="5"/>
      <c r="E307" s="19"/>
      <c r="F307" s="5"/>
      <c r="G307" s="28"/>
      <c r="H307" s="19"/>
      <c r="Q307" s="5"/>
      <c r="R307" s="9"/>
    </row>
    <row r="308">
      <c r="A308" s="44"/>
      <c r="C308" s="5"/>
      <c r="E308" s="19"/>
      <c r="F308" s="5"/>
      <c r="G308" s="28"/>
      <c r="H308" s="19"/>
      <c r="Q308" s="5"/>
      <c r="R308" s="9"/>
    </row>
    <row r="309">
      <c r="A309" s="44"/>
      <c r="C309" s="5"/>
      <c r="E309" s="19"/>
      <c r="F309" s="5"/>
      <c r="G309" s="28"/>
      <c r="H309" s="19"/>
      <c r="Q309" s="5"/>
      <c r="R309" s="9"/>
    </row>
    <row r="310">
      <c r="A310" s="44"/>
      <c r="C310" s="5"/>
      <c r="E310" s="19"/>
      <c r="F310" s="5"/>
      <c r="G310" s="28"/>
      <c r="H310" s="19"/>
      <c r="Q310" s="5"/>
      <c r="R310" s="9"/>
    </row>
    <row r="311">
      <c r="A311" s="44"/>
      <c r="C311" s="5"/>
      <c r="E311" s="19"/>
      <c r="F311" s="5"/>
      <c r="G311" s="28"/>
      <c r="H311" s="19"/>
      <c r="Q311" s="5"/>
      <c r="R311" s="9"/>
    </row>
    <row r="312">
      <c r="A312" s="44"/>
      <c r="C312" s="5"/>
      <c r="E312" s="19"/>
      <c r="F312" s="5"/>
      <c r="G312" s="28"/>
      <c r="H312" s="19"/>
      <c r="Q312" s="5"/>
      <c r="R312" s="9"/>
    </row>
    <row r="313">
      <c r="A313" s="44"/>
      <c r="C313" s="5"/>
      <c r="E313" s="19"/>
      <c r="F313" s="5"/>
      <c r="G313" s="28"/>
      <c r="H313" s="19"/>
      <c r="Q313" s="5"/>
      <c r="R313" s="9"/>
    </row>
    <row r="314">
      <c r="A314" s="44"/>
      <c r="C314" s="5"/>
      <c r="E314" s="19"/>
      <c r="F314" s="5"/>
      <c r="G314" s="28"/>
      <c r="H314" s="19"/>
      <c r="Q314" s="5"/>
      <c r="R314" s="9"/>
    </row>
    <row r="315">
      <c r="A315" s="44"/>
      <c r="C315" s="5"/>
      <c r="E315" s="19"/>
      <c r="F315" s="5"/>
      <c r="G315" s="28"/>
      <c r="H315" s="19"/>
      <c r="Q315" s="5"/>
      <c r="R315" s="9"/>
    </row>
    <row r="316">
      <c r="A316" s="44"/>
      <c r="C316" s="5"/>
      <c r="E316" s="19"/>
      <c r="F316" s="5"/>
      <c r="G316" s="28"/>
      <c r="H316" s="19"/>
      <c r="Q316" s="5"/>
      <c r="R316" s="9"/>
    </row>
    <row r="317">
      <c r="A317" s="44"/>
      <c r="C317" s="5"/>
      <c r="E317" s="19"/>
      <c r="F317" s="5"/>
      <c r="G317" s="28"/>
      <c r="H317" s="19"/>
      <c r="Q317" s="5"/>
      <c r="R317" s="9"/>
    </row>
    <row r="318">
      <c r="A318" s="44"/>
      <c r="C318" s="5"/>
      <c r="E318" s="19"/>
      <c r="F318" s="5"/>
      <c r="G318" s="28"/>
      <c r="H318" s="19"/>
      <c r="Q318" s="5"/>
      <c r="R318" s="9"/>
    </row>
    <row r="319">
      <c r="A319" s="44"/>
      <c r="C319" s="5"/>
      <c r="E319" s="19"/>
      <c r="F319" s="5"/>
      <c r="G319" s="28"/>
      <c r="H319" s="19"/>
      <c r="Q319" s="5"/>
      <c r="R319" s="9"/>
    </row>
    <row r="320">
      <c r="A320" s="44"/>
      <c r="C320" s="5"/>
      <c r="E320" s="19"/>
      <c r="F320" s="5"/>
      <c r="G320" s="28"/>
      <c r="H320" s="19"/>
      <c r="Q320" s="5"/>
      <c r="R320" s="9"/>
    </row>
    <row r="321">
      <c r="A321" s="44"/>
      <c r="C321" s="5"/>
      <c r="E321" s="19"/>
      <c r="F321" s="5"/>
      <c r="G321" s="28"/>
      <c r="H321" s="19"/>
      <c r="Q321" s="5"/>
      <c r="R321" s="9"/>
    </row>
    <row r="322">
      <c r="A322" s="44"/>
      <c r="C322" s="5"/>
      <c r="E322" s="19"/>
      <c r="F322" s="5"/>
      <c r="G322" s="28"/>
      <c r="H322" s="19"/>
      <c r="Q322" s="5"/>
      <c r="R322" s="9"/>
    </row>
    <row r="323">
      <c r="A323" s="44"/>
      <c r="C323" s="5"/>
      <c r="E323" s="19"/>
      <c r="F323" s="5"/>
      <c r="G323" s="28"/>
      <c r="H323" s="19"/>
      <c r="Q323" s="5"/>
      <c r="R323" s="9"/>
    </row>
    <row r="324">
      <c r="A324" s="44"/>
      <c r="C324" s="5"/>
      <c r="E324" s="19"/>
      <c r="F324" s="5"/>
      <c r="G324" s="28"/>
      <c r="H324" s="19"/>
      <c r="Q324" s="5"/>
      <c r="R324" s="9"/>
    </row>
    <row r="325">
      <c r="A325" s="44"/>
      <c r="C325" s="5"/>
      <c r="E325" s="19"/>
      <c r="F325" s="5"/>
      <c r="G325" s="28"/>
      <c r="H325" s="19"/>
      <c r="Q325" s="5"/>
      <c r="R325" s="9"/>
    </row>
    <row r="326">
      <c r="A326" s="44"/>
      <c r="C326" s="5"/>
      <c r="E326" s="19"/>
      <c r="F326" s="5"/>
      <c r="G326" s="28"/>
      <c r="H326" s="19"/>
      <c r="Q326" s="5"/>
      <c r="R326" s="9"/>
    </row>
    <row r="327">
      <c r="A327" s="44"/>
      <c r="C327" s="5"/>
      <c r="E327" s="19"/>
      <c r="F327" s="5"/>
      <c r="G327" s="28"/>
      <c r="H327" s="19"/>
      <c r="Q327" s="5"/>
      <c r="R327" s="9"/>
    </row>
    <row r="328">
      <c r="A328" s="44"/>
      <c r="C328" s="5"/>
      <c r="E328" s="19"/>
      <c r="F328" s="5"/>
      <c r="G328" s="28"/>
      <c r="H328" s="19"/>
      <c r="Q328" s="5"/>
      <c r="R328" s="9"/>
    </row>
    <row r="329">
      <c r="A329" s="44"/>
      <c r="C329" s="5"/>
      <c r="E329" s="19"/>
      <c r="F329" s="5"/>
      <c r="G329" s="28"/>
      <c r="H329" s="19"/>
      <c r="Q329" s="5"/>
      <c r="R329" s="9"/>
    </row>
    <row r="330">
      <c r="A330" s="44"/>
      <c r="C330" s="5"/>
      <c r="E330" s="19"/>
      <c r="F330" s="5"/>
      <c r="G330" s="28"/>
      <c r="H330" s="19"/>
      <c r="Q330" s="5"/>
      <c r="R330" s="9"/>
    </row>
    <row r="331">
      <c r="A331" s="44"/>
      <c r="C331" s="5"/>
      <c r="E331" s="19"/>
      <c r="F331" s="5"/>
      <c r="G331" s="28"/>
      <c r="H331" s="19"/>
      <c r="Q331" s="5"/>
      <c r="R331" s="9"/>
    </row>
    <row r="332">
      <c r="A332" s="44"/>
      <c r="C332" s="5"/>
      <c r="E332" s="19"/>
      <c r="F332" s="5"/>
      <c r="G332" s="28"/>
      <c r="H332" s="19"/>
      <c r="Q332" s="5"/>
      <c r="R332" s="9"/>
    </row>
    <row r="333">
      <c r="A333" s="44"/>
      <c r="C333" s="5"/>
      <c r="E333" s="19"/>
      <c r="F333" s="5"/>
      <c r="G333" s="28"/>
      <c r="H333" s="19"/>
      <c r="Q333" s="5"/>
      <c r="R333" s="9"/>
    </row>
    <row r="334">
      <c r="A334" s="44"/>
      <c r="C334" s="5"/>
      <c r="E334" s="19"/>
      <c r="F334" s="5"/>
      <c r="G334" s="28"/>
      <c r="H334" s="19"/>
      <c r="Q334" s="5"/>
      <c r="R334" s="9"/>
    </row>
    <row r="335">
      <c r="A335" s="44"/>
      <c r="C335" s="5"/>
      <c r="E335" s="19"/>
      <c r="F335" s="5"/>
      <c r="G335" s="28"/>
      <c r="H335" s="19"/>
      <c r="Q335" s="5"/>
      <c r="R335" s="9"/>
    </row>
    <row r="336">
      <c r="A336" s="44"/>
      <c r="C336" s="5"/>
      <c r="E336" s="19"/>
      <c r="F336" s="5"/>
      <c r="G336" s="28"/>
      <c r="H336" s="19"/>
      <c r="Q336" s="5"/>
      <c r="R336" s="9"/>
    </row>
    <row r="337">
      <c r="A337" s="44"/>
      <c r="C337" s="5"/>
      <c r="E337" s="19"/>
      <c r="F337" s="5"/>
      <c r="G337" s="28"/>
      <c r="H337" s="19"/>
      <c r="Q337" s="5"/>
      <c r="R337" s="9"/>
    </row>
    <row r="338">
      <c r="A338" s="44"/>
      <c r="C338" s="5"/>
      <c r="E338" s="19"/>
      <c r="F338" s="5"/>
      <c r="G338" s="28"/>
      <c r="H338" s="19"/>
      <c r="Q338" s="5"/>
      <c r="R338" s="9"/>
    </row>
    <row r="339">
      <c r="A339" s="44"/>
      <c r="C339" s="5"/>
      <c r="E339" s="19"/>
      <c r="F339" s="5"/>
      <c r="G339" s="28"/>
      <c r="H339" s="19"/>
      <c r="Q339" s="5"/>
      <c r="R339" s="9"/>
    </row>
    <row r="340">
      <c r="A340" s="44"/>
      <c r="C340" s="5"/>
      <c r="E340" s="19"/>
      <c r="F340" s="5"/>
      <c r="G340" s="28"/>
      <c r="H340" s="19"/>
      <c r="Q340" s="5"/>
      <c r="R340" s="9"/>
    </row>
    <row r="341">
      <c r="A341" s="44"/>
      <c r="C341" s="5"/>
      <c r="E341" s="19"/>
      <c r="F341" s="5"/>
      <c r="G341" s="28"/>
      <c r="H341" s="19"/>
      <c r="Q341" s="5"/>
      <c r="R341" s="9"/>
    </row>
    <row r="342">
      <c r="A342" s="44"/>
      <c r="C342" s="5"/>
      <c r="E342" s="19"/>
      <c r="F342" s="5"/>
      <c r="G342" s="28"/>
      <c r="H342" s="19"/>
      <c r="Q342" s="5"/>
      <c r="R342" s="9"/>
    </row>
    <row r="343">
      <c r="A343" s="44"/>
      <c r="C343" s="5"/>
      <c r="E343" s="19"/>
      <c r="F343" s="5"/>
      <c r="G343" s="28"/>
      <c r="H343" s="19"/>
      <c r="Q343" s="5"/>
      <c r="R343" s="9"/>
    </row>
    <row r="344">
      <c r="A344" s="44"/>
      <c r="C344" s="5"/>
      <c r="E344" s="19"/>
      <c r="F344" s="5"/>
      <c r="G344" s="28"/>
      <c r="H344" s="19"/>
      <c r="Q344" s="5"/>
      <c r="R344" s="9"/>
    </row>
    <row r="345">
      <c r="A345" s="44"/>
      <c r="C345" s="5"/>
      <c r="E345" s="19"/>
      <c r="F345" s="5"/>
      <c r="G345" s="28"/>
      <c r="H345" s="19"/>
      <c r="Q345" s="5"/>
      <c r="R345" s="9"/>
    </row>
    <row r="346">
      <c r="A346" s="44"/>
      <c r="C346" s="5"/>
      <c r="E346" s="19"/>
      <c r="F346" s="5"/>
      <c r="G346" s="28"/>
      <c r="H346" s="19"/>
      <c r="Q346" s="5"/>
      <c r="R346" s="9"/>
    </row>
    <row r="347">
      <c r="A347" s="44"/>
      <c r="C347" s="5"/>
      <c r="E347" s="19"/>
      <c r="F347" s="5"/>
      <c r="G347" s="28"/>
      <c r="H347" s="19"/>
      <c r="Q347" s="5"/>
      <c r="R347" s="9"/>
    </row>
    <row r="348">
      <c r="A348" s="44"/>
      <c r="C348" s="5"/>
      <c r="E348" s="19"/>
      <c r="F348" s="5"/>
      <c r="G348" s="28"/>
      <c r="H348" s="19"/>
      <c r="Q348" s="5"/>
      <c r="R348" s="9"/>
    </row>
    <row r="349">
      <c r="A349" s="44"/>
      <c r="C349" s="5"/>
      <c r="E349" s="19"/>
      <c r="F349" s="5"/>
      <c r="G349" s="28"/>
      <c r="H349" s="19"/>
      <c r="Q349" s="5"/>
      <c r="R349" s="9"/>
    </row>
    <row r="350">
      <c r="A350" s="44"/>
      <c r="C350" s="5"/>
      <c r="E350" s="19"/>
      <c r="F350" s="5"/>
      <c r="G350" s="28"/>
      <c r="H350" s="19"/>
      <c r="Q350" s="5"/>
      <c r="R350" s="9"/>
    </row>
    <row r="351">
      <c r="A351" s="44"/>
      <c r="C351" s="5"/>
      <c r="E351" s="19"/>
      <c r="F351" s="5"/>
      <c r="G351" s="28"/>
      <c r="H351" s="19"/>
      <c r="Q351" s="5"/>
      <c r="R351" s="9"/>
    </row>
    <row r="352">
      <c r="A352" s="44"/>
      <c r="C352" s="5"/>
      <c r="E352" s="19"/>
      <c r="F352" s="5"/>
      <c r="G352" s="28"/>
      <c r="H352" s="19"/>
      <c r="Q352" s="5"/>
      <c r="R352" s="9"/>
    </row>
    <row r="353">
      <c r="A353" s="44"/>
      <c r="C353" s="5"/>
      <c r="E353" s="19"/>
      <c r="F353" s="5"/>
      <c r="G353" s="28"/>
      <c r="H353" s="19"/>
      <c r="Q353" s="5"/>
      <c r="R353" s="9"/>
    </row>
    <row r="354">
      <c r="A354" s="44"/>
      <c r="C354" s="5"/>
      <c r="E354" s="19"/>
      <c r="F354" s="5"/>
      <c r="G354" s="28"/>
      <c r="H354" s="19"/>
      <c r="Q354" s="5"/>
      <c r="R354" s="9"/>
    </row>
    <row r="355">
      <c r="A355" s="44"/>
      <c r="C355" s="5"/>
      <c r="E355" s="19"/>
      <c r="F355" s="5"/>
      <c r="G355" s="28"/>
      <c r="H355" s="19"/>
      <c r="Q355" s="5"/>
      <c r="R355" s="9"/>
    </row>
    <row r="356">
      <c r="A356" s="44"/>
      <c r="C356" s="5"/>
      <c r="E356" s="19"/>
      <c r="F356" s="5"/>
      <c r="G356" s="28"/>
      <c r="H356" s="19"/>
      <c r="Q356" s="5"/>
      <c r="R356" s="9"/>
    </row>
    <row r="357">
      <c r="A357" s="44"/>
      <c r="C357" s="5"/>
      <c r="E357" s="19"/>
      <c r="F357" s="5"/>
      <c r="G357" s="28"/>
      <c r="H357" s="19"/>
      <c r="Q357" s="5"/>
      <c r="R357" s="9"/>
    </row>
    <row r="358">
      <c r="A358" s="44"/>
      <c r="C358" s="5"/>
      <c r="E358" s="19"/>
      <c r="F358" s="5"/>
      <c r="G358" s="28"/>
      <c r="H358" s="19"/>
      <c r="Q358" s="5"/>
      <c r="R358" s="9"/>
    </row>
    <row r="359">
      <c r="A359" s="44"/>
      <c r="C359" s="5"/>
      <c r="E359" s="19"/>
      <c r="F359" s="5"/>
      <c r="G359" s="28"/>
      <c r="H359" s="19"/>
      <c r="Q359" s="5"/>
      <c r="R359" s="9"/>
    </row>
    <row r="360">
      <c r="A360" s="44"/>
      <c r="C360" s="5"/>
      <c r="E360" s="19"/>
      <c r="F360" s="5"/>
      <c r="G360" s="28"/>
      <c r="H360" s="19"/>
      <c r="Q360" s="5"/>
      <c r="R360" s="9"/>
    </row>
    <row r="361">
      <c r="A361" s="44"/>
      <c r="C361" s="5"/>
      <c r="E361" s="19"/>
      <c r="F361" s="5"/>
      <c r="G361" s="28"/>
      <c r="H361" s="19"/>
      <c r="Q361" s="5"/>
      <c r="R361" s="9"/>
    </row>
    <row r="362">
      <c r="A362" s="44"/>
      <c r="C362" s="5"/>
      <c r="E362" s="19"/>
      <c r="F362" s="5"/>
      <c r="G362" s="28"/>
      <c r="H362" s="19"/>
      <c r="Q362" s="5"/>
      <c r="R362" s="9"/>
    </row>
    <row r="363">
      <c r="A363" s="44"/>
      <c r="C363" s="5"/>
      <c r="E363" s="19"/>
      <c r="F363" s="5"/>
      <c r="G363" s="28"/>
      <c r="H363" s="19"/>
      <c r="Q363" s="5"/>
      <c r="R363" s="9"/>
    </row>
    <row r="364">
      <c r="A364" s="44"/>
      <c r="C364" s="5"/>
      <c r="E364" s="19"/>
      <c r="F364" s="5"/>
      <c r="G364" s="28"/>
      <c r="H364" s="19"/>
      <c r="Q364" s="5"/>
      <c r="R364" s="9"/>
    </row>
    <row r="365">
      <c r="A365" s="44"/>
      <c r="C365" s="5"/>
      <c r="E365" s="19"/>
      <c r="F365" s="5"/>
      <c r="G365" s="28"/>
      <c r="H365" s="19"/>
      <c r="Q365" s="5"/>
      <c r="R365" s="9"/>
    </row>
    <row r="366">
      <c r="A366" s="44"/>
      <c r="C366" s="5"/>
      <c r="E366" s="19"/>
      <c r="F366" s="5"/>
      <c r="G366" s="28"/>
      <c r="H366" s="19"/>
      <c r="Q366" s="5"/>
      <c r="R366" s="9"/>
    </row>
    <row r="367">
      <c r="A367" s="44"/>
      <c r="C367" s="5"/>
      <c r="E367" s="19"/>
      <c r="F367" s="5"/>
      <c r="G367" s="28"/>
      <c r="H367" s="19"/>
      <c r="Q367" s="5"/>
      <c r="R367" s="9"/>
    </row>
    <row r="368">
      <c r="A368" s="44"/>
      <c r="C368" s="5"/>
      <c r="E368" s="19"/>
      <c r="F368" s="5"/>
      <c r="G368" s="28"/>
      <c r="H368" s="19"/>
      <c r="Q368" s="5"/>
      <c r="R368" s="9"/>
    </row>
    <row r="369">
      <c r="A369" s="44"/>
      <c r="C369" s="5"/>
      <c r="E369" s="19"/>
      <c r="F369" s="5"/>
      <c r="G369" s="28"/>
      <c r="H369" s="19"/>
      <c r="Q369" s="5"/>
      <c r="R369" s="9"/>
    </row>
    <row r="370">
      <c r="A370" s="44"/>
      <c r="C370" s="5"/>
      <c r="E370" s="19"/>
      <c r="F370" s="5"/>
      <c r="G370" s="28"/>
      <c r="H370" s="19"/>
      <c r="Q370" s="5"/>
      <c r="R370" s="9"/>
    </row>
    <row r="371">
      <c r="A371" s="44"/>
      <c r="C371" s="5"/>
      <c r="E371" s="19"/>
      <c r="F371" s="5"/>
      <c r="G371" s="28"/>
      <c r="H371" s="19"/>
      <c r="Q371" s="5"/>
      <c r="R371" s="9"/>
    </row>
    <row r="372">
      <c r="A372" s="44"/>
      <c r="C372" s="5"/>
      <c r="E372" s="19"/>
      <c r="F372" s="5"/>
      <c r="G372" s="28"/>
      <c r="H372" s="19"/>
      <c r="Q372" s="5"/>
      <c r="R372" s="9"/>
    </row>
    <row r="373">
      <c r="A373" s="44"/>
      <c r="C373" s="5"/>
      <c r="E373" s="19"/>
      <c r="F373" s="5"/>
      <c r="G373" s="28"/>
      <c r="H373" s="19"/>
      <c r="Q373" s="5"/>
      <c r="R373" s="9"/>
    </row>
    <row r="374">
      <c r="A374" s="44"/>
      <c r="C374" s="5"/>
      <c r="E374" s="19"/>
      <c r="F374" s="5"/>
      <c r="G374" s="28"/>
      <c r="H374" s="19"/>
      <c r="Q374" s="5"/>
      <c r="R374" s="9"/>
    </row>
    <row r="375">
      <c r="A375" s="44"/>
      <c r="C375" s="5"/>
      <c r="E375" s="19"/>
      <c r="F375" s="5"/>
      <c r="G375" s="28"/>
      <c r="H375" s="19"/>
      <c r="Q375" s="5"/>
      <c r="R375" s="9"/>
    </row>
    <row r="376">
      <c r="A376" s="44"/>
      <c r="C376" s="5"/>
      <c r="E376" s="19"/>
      <c r="F376" s="5"/>
      <c r="G376" s="28"/>
      <c r="H376" s="19"/>
      <c r="Q376" s="5"/>
      <c r="R376" s="9"/>
    </row>
    <row r="377">
      <c r="A377" s="44"/>
      <c r="C377" s="5"/>
      <c r="E377" s="19"/>
      <c r="F377" s="5"/>
      <c r="G377" s="28"/>
      <c r="H377" s="19"/>
      <c r="Q377" s="5"/>
      <c r="R377" s="9"/>
    </row>
    <row r="378">
      <c r="A378" s="44"/>
      <c r="C378" s="5"/>
      <c r="E378" s="19"/>
      <c r="F378" s="5"/>
      <c r="G378" s="28"/>
      <c r="H378" s="19"/>
      <c r="Q378" s="5"/>
      <c r="R378" s="9"/>
    </row>
    <row r="379">
      <c r="A379" s="44"/>
      <c r="C379" s="5"/>
      <c r="E379" s="19"/>
      <c r="F379" s="5"/>
      <c r="G379" s="28"/>
      <c r="H379" s="19"/>
      <c r="Q379" s="5"/>
      <c r="R379" s="9"/>
    </row>
    <row r="380">
      <c r="A380" s="44"/>
      <c r="C380" s="5"/>
      <c r="E380" s="19"/>
      <c r="F380" s="5"/>
      <c r="G380" s="28"/>
      <c r="H380" s="19"/>
      <c r="Q380" s="5"/>
      <c r="R380" s="9"/>
    </row>
    <row r="381">
      <c r="A381" s="44"/>
      <c r="C381" s="5"/>
      <c r="E381" s="19"/>
      <c r="F381" s="5"/>
      <c r="G381" s="28"/>
      <c r="H381" s="19"/>
      <c r="Q381" s="5"/>
      <c r="R381" s="9"/>
    </row>
    <row r="382">
      <c r="A382" s="44"/>
      <c r="C382" s="5"/>
      <c r="E382" s="19"/>
      <c r="F382" s="5"/>
      <c r="G382" s="28"/>
      <c r="H382" s="19"/>
      <c r="Q382" s="5"/>
      <c r="R382" s="9"/>
    </row>
    <row r="383">
      <c r="A383" s="44"/>
      <c r="C383" s="5"/>
      <c r="E383" s="19"/>
      <c r="F383" s="5"/>
      <c r="G383" s="28"/>
      <c r="H383" s="19"/>
      <c r="Q383" s="5"/>
      <c r="R383" s="9"/>
    </row>
    <row r="384">
      <c r="A384" s="44"/>
      <c r="C384" s="5"/>
      <c r="E384" s="19"/>
      <c r="F384" s="5"/>
      <c r="G384" s="28"/>
      <c r="H384" s="19"/>
      <c r="Q384" s="5"/>
      <c r="R384" s="9"/>
    </row>
    <row r="385">
      <c r="A385" s="44"/>
      <c r="C385" s="5"/>
      <c r="E385" s="19"/>
      <c r="F385" s="5"/>
      <c r="G385" s="28"/>
      <c r="H385" s="19"/>
      <c r="Q385" s="5"/>
      <c r="R385" s="9"/>
    </row>
    <row r="386">
      <c r="A386" s="44"/>
      <c r="C386" s="5"/>
      <c r="E386" s="19"/>
      <c r="F386" s="5"/>
      <c r="G386" s="28"/>
      <c r="H386" s="19"/>
      <c r="Q386" s="5"/>
      <c r="R386" s="9"/>
    </row>
    <row r="387">
      <c r="A387" s="44"/>
      <c r="C387" s="5"/>
      <c r="E387" s="19"/>
      <c r="F387" s="5"/>
      <c r="G387" s="28"/>
      <c r="H387" s="19"/>
      <c r="Q387" s="5"/>
      <c r="R387" s="9"/>
    </row>
    <row r="388">
      <c r="A388" s="44"/>
      <c r="C388" s="5"/>
      <c r="E388" s="19"/>
      <c r="F388" s="5"/>
      <c r="G388" s="28"/>
      <c r="H388" s="19"/>
      <c r="Q388" s="5"/>
      <c r="R388" s="9"/>
    </row>
    <row r="389">
      <c r="A389" s="44"/>
      <c r="C389" s="5"/>
      <c r="E389" s="19"/>
      <c r="F389" s="5"/>
      <c r="G389" s="28"/>
      <c r="H389" s="19"/>
      <c r="Q389" s="5"/>
      <c r="R389" s="9"/>
    </row>
    <row r="390">
      <c r="A390" s="44"/>
      <c r="C390" s="5"/>
      <c r="E390" s="19"/>
      <c r="F390" s="5"/>
      <c r="G390" s="28"/>
      <c r="H390" s="19"/>
      <c r="Q390" s="5"/>
      <c r="R390" s="9"/>
    </row>
    <row r="391">
      <c r="A391" s="44"/>
      <c r="C391" s="5"/>
      <c r="E391" s="19"/>
      <c r="F391" s="5"/>
      <c r="G391" s="28"/>
      <c r="H391" s="19"/>
      <c r="Q391" s="5"/>
      <c r="R391" s="9"/>
    </row>
    <row r="392">
      <c r="A392" s="44"/>
      <c r="C392" s="5"/>
      <c r="E392" s="19"/>
      <c r="F392" s="5"/>
      <c r="G392" s="28"/>
      <c r="H392" s="19"/>
      <c r="Q392" s="5"/>
      <c r="R392" s="9"/>
    </row>
    <row r="393">
      <c r="A393" s="44"/>
      <c r="C393" s="5"/>
      <c r="E393" s="19"/>
      <c r="F393" s="5"/>
      <c r="G393" s="28"/>
      <c r="H393" s="19"/>
      <c r="Q393" s="5"/>
      <c r="R393" s="9"/>
    </row>
    <row r="394">
      <c r="A394" s="44"/>
      <c r="C394" s="5"/>
      <c r="E394" s="19"/>
      <c r="F394" s="5"/>
      <c r="G394" s="28"/>
      <c r="H394" s="19"/>
      <c r="Q394" s="5"/>
      <c r="R394" s="9"/>
    </row>
    <row r="395">
      <c r="A395" s="44"/>
      <c r="C395" s="5"/>
      <c r="E395" s="19"/>
      <c r="F395" s="5"/>
      <c r="G395" s="28"/>
      <c r="H395" s="19"/>
      <c r="Q395" s="5"/>
      <c r="R395" s="9"/>
    </row>
    <row r="396">
      <c r="A396" s="44"/>
      <c r="C396" s="5"/>
      <c r="E396" s="19"/>
      <c r="F396" s="5"/>
      <c r="G396" s="28"/>
      <c r="H396" s="19"/>
      <c r="Q396" s="5"/>
      <c r="R396" s="9"/>
    </row>
    <row r="397">
      <c r="A397" s="44"/>
      <c r="C397" s="5"/>
      <c r="E397" s="19"/>
      <c r="F397" s="5"/>
      <c r="G397" s="28"/>
      <c r="H397" s="19"/>
      <c r="Q397" s="5"/>
      <c r="R397" s="9"/>
    </row>
    <row r="398">
      <c r="A398" s="44"/>
      <c r="C398" s="5"/>
      <c r="E398" s="19"/>
      <c r="F398" s="5"/>
      <c r="G398" s="28"/>
      <c r="H398" s="19"/>
      <c r="Q398" s="5"/>
      <c r="R398" s="9"/>
    </row>
    <row r="399">
      <c r="A399" s="44"/>
      <c r="C399" s="5"/>
      <c r="E399" s="19"/>
      <c r="F399" s="5"/>
      <c r="G399" s="28"/>
      <c r="H399" s="19"/>
      <c r="Q399" s="5"/>
      <c r="R399" s="9"/>
    </row>
    <row r="400">
      <c r="A400" s="44"/>
      <c r="C400" s="5"/>
      <c r="E400" s="19"/>
      <c r="F400" s="5"/>
      <c r="G400" s="28"/>
      <c r="H400" s="19"/>
      <c r="Q400" s="5"/>
      <c r="R400" s="9"/>
    </row>
    <row r="401">
      <c r="A401" s="44"/>
      <c r="C401" s="5"/>
      <c r="E401" s="19"/>
      <c r="F401" s="5"/>
      <c r="G401" s="28"/>
      <c r="H401" s="19"/>
      <c r="Q401" s="5"/>
      <c r="R401" s="9"/>
    </row>
    <row r="402">
      <c r="A402" s="44"/>
      <c r="C402" s="5"/>
      <c r="E402" s="19"/>
      <c r="F402" s="5"/>
      <c r="G402" s="28"/>
      <c r="H402" s="19"/>
      <c r="Q402" s="5"/>
      <c r="R402" s="9"/>
    </row>
    <row r="403">
      <c r="A403" s="44"/>
      <c r="C403" s="5"/>
      <c r="E403" s="19"/>
      <c r="F403" s="5"/>
      <c r="G403" s="28"/>
      <c r="H403" s="19"/>
      <c r="Q403" s="5"/>
      <c r="R403" s="9"/>
    </row>
    <row r="404">
      <c r="A404" s="44"/>
      <c r="C404" s="5"/>
      <c r="E404" s="19"/>
      <c r="F404" s="5"/>
      <c r="G404" s="28"/>
      <c r="H404" s="19"/>
      <c r="Q404" s="5"/>
      <c r="R404" s="9"/>
    </row>
    <row r="405">
      <c r="A405" s="44"/>
      <c r="C405" s="5"/>
      <c r="E405" s="19"/>
      <c r="F405" s="5"/>
      <c r="G405" s="28"/>
      <c r="H405" s="19"/>
      <c r="Q405" s="5"/>
      <c r="R405" s="9"/>
    </row>
    <row r="406">
      <c r="A406" s="44"/>
      <c r="C406" s="5"/>
      <c r="E406" s="19"/>
      <c r="F406" s="5"/>
      <c r="G406" s="28"/>
      <c r="H406" s="19"/>
      <c r="Q406" s="5"/>
      <c r="R406" s="9"/>
    </row>
    <row r="407">
      <c r="A407" s="44"/>
      <c r="C407" s="5"/>
      <c r="E407" s="19"/>
      <c r="F407" s="5"/>
      <c r="G407" s="28"/>
      <c r="H407" s="19"/>
      <c r="Q407" s="5"/>
      <c r="R407" s="9"/>
    </row>
    <row r="408">
      <c r="A408" s="44"/>
      <c r="C408" s="5"/>
      <c r="E408" s="19"/>
      <c r="F408" s="5"/>
      <c r="G408" s="28"/>
      <c r="H408" s="19"/>
      <c r="Q408" s="5"/>
      <c r="R408" s="9"/>
    </row>
    <row r="409">
      <c r="A409" s="44"/>
      <c r="C409" s="5"/>
      <c r="E409" s="19"/>
      <c r="F409" s="5"/>
      <c r="G409" s="28"/>
      <c r="H409" s="19"/>
      <c r="Q409" s="5"/>
      <c r="R409" s="9"/>
    </row>
    <row r="410">
      <c r="A410" s="44"/>
      <c r="C410" s="5"/>
      <c r="E410" s="19"/>
      <c r="F410" s="5"/>
      <c r="G410" s="28"/>
      <c r="H410" s="19"/>
      <c r="Q410" s="5"/>
      <c r="R410" s="9"/>
    </row>
    <row r="411">
      <c r="A411" s="44"/>
      <c r="C411" s="5"/>
      <c r="E411" s="19"/>
      <c r="F411" s="5"/>
      <c r="G411" s="28"/>
      <c r="H411" s="19"/>
      <c r="Q411" s="5"/>
      <c r="R411" s="9"/>
    </row>
    <row r="412">
      <c r="A412" s="44"/>
      <c r="C412" s="5"/>
      <c r="E412" s="19"/>
      <c r="F412" s="5"/>
      <c r="G412" s="28"/>
      <c r="H412" s="19"/>
      <c r="Q412" s="5"/>
      <c r="R412" s="9"/>
    </row>
    <row r="413">
      <c r="A413" s="44"/>
      <c r="C413" s="5"/>
      <c r="E413" s="19"/>
      <c r="F413" s="5"/>
      <c r="G413" s="28"/>
      <c r="H413" s="19"/>
      <c r="Q413" s="5"/>
      <c r="R413" s="9"/>
    </row>
    <row r="414">
      <c r="A414" s="44"/>
      <c r="C414" s="5"/>
      <c r="E414" s="19"/>
      <c r="F414" s="5"/>
      <c r="G414" s="28"/>
      <c r="H414" s="19"/>
      <c r="Q414" s="5"/>
      <c r="R414" s="9"/>
    </row>
    <row r="415">
      <c r="A415" s="44"/>
      <c r="C415" s="5"/>
      <c r="E415" s="19"/>
      <c r="F415" s="5"/>
      <c r="G415" s="28"/>
      <c r="H415" s="19"/>
      <c r="Q415" s="5"/>
      <c r="R415" s="9"/>
    </row>
    <row r="416">
      <c r="A416" s="44"/>
      <c r="C416" s="5"/>
      <c r="E416" s="19"/>
      <c r="F416" s="5"/>
      <c r="G416" s="28"/>
      <c r="H416" s="19"/>
      <c r="Q416" s="5"/>
      <c r="R416" s="9"/>
    </row>
    <row r="417">
      <c r="A417" s="44"/>
      <c r="C417" s="5"/>
      <c r="E417" s="19"/>
      <c r="F417" s="5"/>
      <c r="G417" s="28"/>
      <c r="H417" s="19"/>
      <c r="Q417" s="5"/>
      <c r="R417" s="9"/>
    </row>
    <row r="418">
      <c r="A418" s="44"/>
      <c r="C418" s="5"/>
      <c r="E418" s="19"/>
      <c r="F418" s="5"/>
      <c r="G418" s="28"/>
      <c r="H418" s="19"/>
      <c r="Q418" s="5"/>
      <c r="R418" s="9"/>
    </row>
    <row r="419">
      <c r="A419" s="44"/>
      <c r="C419" s="5"/>
      <c r="E419" s="19"/>
      <c r="F419" s="5"/>
      <c r="G419" s="28"/>
      <c r="H419" s="19"/>
      <c r="Q419" s="5"/>
      <c r="R419" s="9"/>
    </row>
    <row r="420">
      <c r="A420" s="44"/>
      <c r="C420" s="5"/>
      <c r="E420" s="19"/>
      <c r="F420" s="5"/>
      <c r="G420" s="28"/>
      <c r="H420" s="19"/>
      <c r="Q420" s="5"/>
      <c r="R420" s="9"/>
    </row>
    <row r="421">
      <c r="A421" s="44"/>
      <c r="C421" s="5"/>
      <c r="E421" s="19"/>
      <c r="F421" s="5"/>
      <c r="G421" s="28"/>
      <c r="H421" s="19"/>
      <c r="Q421" s="5"/>
      <c r="R421" s="9"/>
    </row>
    <row r="422">
      <c r="A422" s="44"/>
      <c r="C422" s="5"/>
      <c r="E422" s="19"/>
      <c r="F422" s="5"/>
      <c r="G422" s="28"/>
      <c r="H422" s="19"/>
      <c r="Q422" s="5"/>
      <c r="R422" s="9"/>
    </row>
    <row r="423">
      <c r="A423" s="44"/>
      <c r="C423" s="5"/>
      <c r="E423" s="19"/>
      <c r="F423" s="5"/>
      <c r="G423" s="28"/>
      <c r="H423" s="19"/>
      <c r="Q423" s="5"/>
      <c r="R423" s="9"/>
    </row>
    <row r="424">
      <c r="A424" s="44"/>
      <c r="C424" s="5"/>
      <c r="E424" s="19"/>
      <c r="F424" s="5"/>
      <c r="G424" s="28"/>
      <c r="H424" s="19"/>
      <c r="Q424" s="5"/>
      <c r="R424" s="9"/>
    </row>
    <row r="425">
      <c r="A425" s="44"/>
      <c r="C425" s="5"/>
      <c r="E425" s="19"/>
      <c r="F425" s="5"/>
      <c r="G425" s="28"/>
      <c r="H425" s="19"/>
      <c r="Q425" s="5"/>
      <c r="R425" s="9"/>
    </row>
    <row r="426">
      <c r="A426" s="44"/>
      <c r="C426" s="5"/>
      <c r="E426" s="19"/>
      <c r="F426" s="5"/>
      <c r="G426" s="28"/>
      <c r="H426" s="19"/>
      <c r="Q426" s="5"/>
      <c r="R426" s="9"/>
    </row>
    <row r="427">
      <c r="A427" s="44"/>
      <c r="C427" s="5"/>
      <c r="E427" s="19"/>
      <c r="F427" s="5"/>
      <c r="G427" s="28"/>
      <c r="H427" s="19"/>
      <c r="Q427" s="5"/>
      <c r="R427" s="9"/>
    </row>
    <row r="428">
      <c r="A428" s="44"/>
      <c r="C428" s="5"/>
      <c r="E428" s="19"/>
      <c r="F428" s="5"/>
      <c r="G428" s="28"/>
      <c r="H428" s="19"/>
      <c r="Q428" s="5"/>
      <c r="R428" s="9"/>
    </row>
    <row r="429">
      <c r="A429" s="44"/>
      <c r="C429" s="5"/>
      <c r="E429" s="19"/>
      <c r="F429" s="5"/>
      <c r="G429" s="28"/>
      <c r="H429" s="19"/>
      <c r="Q429" s="5"/>
      <c r="R429" s="9"/>
    </row>
    <row r="430">
      <c r="A430" s="44"/>
      <c r="C430" s="5"/>
      <c r="E430" s="19"/>
      <c r="F430" s="5"/>
      <c r="G430" s="28"/>
      <c r="H430" s="19"/>
      <c r="Q430" s="5"/>
      <c r="R430" s="9"/>
    </row>
    <row r="431">
      <c r="A431" s="44"/>
      <c r="C431" s="5"/>
      <c r="E431" s="19"/>
      <c r="F431" s="5"/>
      <c r="G431" s="28"/>
      <c r="H431" s="19"/>
      <c r="Q431" s="5"/>
      <c r="R431" s="9"/>
    </row>
    <row r="432">
      <c r="A432" s="44"/>
      <c r="C432" s="5"/>
      <c r="E432" s="19"/>
      <c r="F432" s="5"/>
      <c r="G432" s="28"/>
      <c r="H432" s="19"/>
      <c r="Q432" s="5"/>
      <c r="R432" s="9"/>
    </row>
    <row r="433">
      <c r="A433" s="44"/>
      <c r="C433" s="5"/>
      <c r="E433" s="19"/>
      <c r="F433" s="5"/>
      <c r="G433" s="28"/>
      <c r="H433" s="19"/>
      <c r="Q433" s="5"/>
      <c r="R433" s="9"/>
    </row>
    <row r="434">
      <c r="A434" s="44"/>
      <c r="C434" s="5"/>
      <c r="E434" s="19"/>
      <c r="F434" s="5"/>
      <c r="G434" s="28"/>
      <c r="H434" s="19"/>
      <c r="Q434" s="5"/>
      <c r="R434" s="9"/>
    </row>
    <row r="435">
      <c r="A435" s="44"/>
      <c r="C435" s="5"/>
      <c r="E435" s="19"/>
      <c r="F435" s="5"/>
      <c r="G435" s="28"/>
      <c r="H435" s="19"/>
      <c r="Q435" s="5"/>
      <c r="R435" s="9"/>
    </row>
    <row r="436">
      <c r="A436" s="44"/>
      <c r="C436" s="5"/>
      <c r="E436" s="19"/>
      <c r="F436" s="5"/>
      <c r="G436" s="28"/>
      <c r="H436" s="19"/>
      <c r="Q436" s="5"/>
      <c r="R436" s="9"/>
    </row>
    <row r="437">
      <c r="A437" s="44"/>
      <c r="C437" s="5"/>
      <c r="E437" s="19"/>
      <c r="F437" s="5"/>
      <c r="G437" s="28"/>
      <c r="H437" s="19"/>
      <c r="Q437" s="5"/>
      <c r="R437" s="9"/>
    </row>
    <row r="438">
      <c r="A438" s="44"/>
      <c r="C438" s="5"/>
      <c r="E438" s="19"/>
      <c r="F438" s="5"/>
      <c r="G438" s="28"/>
      <c r="H438" s="19"/>
      <c r="Q438" s="5"/>
      <c r="R438" s="9"/>
    </row>
    <row r="439">
      <c r="A439" s="44"/>
      <c r="C439" s="5"/>
      <c r="E439" s="19"/>
      <c r="F439" s="5"/>
      <c r="G439" s="28"/>
      <c r="H439" s="19"/>
      <c r="Q439" s="5"/>
      <c r="R439" s="9"/>
    </row>
    <row r="440">
      <c r="A440" s="44"/>
      <c r="C440" s="5"/>
      <c r="E440" s="19"/>
      <c r="F440" s="5"/>
      <c r="G440" s="28"/>
      <c r="H440" s="19"/>
      <c r="Q440" s="5"/>
      <c r="R440" s="9"/>
    </row>
    <row r="441">
      <c r="A441" s="44"/>
      <c r="C441" s="5"/>
      <c r="E441" s="19"/>
      <c r="F441" s="5"/>
      <c r="G441" s="28"/>
      <c r="H441" s="19"/>
      <c r="Q441" s="5"/>
      <c r="R441" s="9"/>
    </row>
    <row r="442">
      <c r="A442" s="44"/>
      <c r="C442" s="5"/>
      <c r="E442" s="19"/>
      <c r="F442" s="5"/>
      <c r="G442" s="28"/>
      <c r="H442" s="19"/>
      <c r="Q442" s="5"/>
      <c r="R442" s="9"/>
    </row>
    <row r="443">
      <c r="A443" s="44"/>
      <c r="C443" s="5"/>
      <c r="E443" s="19"/>
      <c r="F443" s="5"/>
      <c r="G443" s="28"/>
      <c r="H443" s="19"/>
      <c r="Q443" s="5"/>
      <c r="R443" s="9"/>
    </row>
    <row r="444">
      <c r="A444" s="44"/>
      <c r="C444" s="5"/>
      <c r="E444" s="19"/>
      <c r="F444" s="5"/>
      <c r="G444" s="28"/>
      <c r="H444" s="19"/>
      <c r="Q444" s="5"/>
      <c r="R444" s="9"/>
    </row>
    <row r="445">
      <c r="A445" s="44"/>
      <c r="C445" s="5"/>
      <c r="E445" s="19"/>
      <c r="F445" s="5"/>
      <c r="G445" s="28"/>
      <c r="H445" s="19"/>
      <c r="Q445" s="5"/>
      <c r="R445" s="9"/>
    </row>
    <row r="446">
      <c r="A446" s="44"/>
      <c r="C446" s="5"/>
      <c r="E446" s="19"/>
      <c r="F446" s="5"/>
      <c r="G446" s="28"/>
      <c r="H446" s="19"/>
      <c r="Q446" s="5"/>
      <c r="R446" s="9"/>
    </row>
    <row r="447">
      <c r="A447" s="44"/>
      <c r="C447" s="5"/>
      <c r="E447" s="19"/>
      <c r="F447" s="5"/>
      <c r="G447" s="28"/>
      <c r="H447" s="19"/>
      <c r="Q447" s="5"/>
      <c r="R447" s="9"/>
    </row>
    <row r="448">
      <c r="A448" s="44"/>
      <c r="C448" s="5"/>
      <c r="E448" s="19"/>
      <c r="F448" s="5"/>
      <c r="G448" s="28"/>
      <c r="H448" s="19"/>
      <c r="Q448" s="5"/>
      <c r="R448" s="9"/>
    </row>
    <row r="449">
      <c r="A449" s="44"/>
      <c r="C449" s="5"/>
      <c r="E449" s="19"/>
      <c r="F449" s="5"/>
      <c r="G449" s="28"/>
      <c r="H449" s="19"/>
      <c r="Q449" s="5"/>
      <c r="R449" s="9"/>
    </row>
    <row r="450">
      <c r="A450" s="44"/>
      <c r="C450" s="5"/>
      <c r="E450" s="19"/>
      <c r="F450" s="5"/>
      <c r="G450" s="28"/>
      <c r="H450" s="19"/>
      <c r="Q450" s="5"/>
      <c r="R450" s="9"/>
    </row>
    <row r="451">
      <c r="A451" s="44"/>
      <c r="C451" s="5"/>
      <c r="E451" s="19"/>
      <c r="F451" s="5"/>
      <c r="G451" s="28"/>
      <c r="H451" s="19"/>
      <c r="Q451" s="5"/>
      <c r="R451" s="9"/>
    </row>
    <row r="452">
      <c r="A452" s="44"/>
      <c r="C452" s="5"/>
      <c r="E452" s="19"/>
      <c r="F452" s="5"/>
      <c r="G452" s="28"/>
      <c r="H452" s="19"/>
      <c r="Q452" s="5"/>
      <c r="R452" s="9"/>
    </row>
    <row r="453">
      <c r="A453" s="44"/>
      <c r="C453" s="5"/>
      <c r="E453" s="19"/>
      <c r="F453" s="5"/>
      <c r="G453" s="28"/>
      <c r="H453" s="19"/>
      <c r="Q453" s="5"/>
      <c r="R453" s="9"/>
    </row>
    <row r="454">
      <c r="A454" s="44"/>
      <c r="C454" s="5"/>
      <c r="E454" s="19"/>
      <c r="F454" s="5"/>
      <c r="G454" s="28"/>
      <c r="H454" s="19"/>
      <c r="Q454" s="5"/>
      <c r="R454" s="9"/>
    </row>
    <row r="455">
      <c r="A455" s="44"/>
      <c r="C455" s="5"/>
      <c r="E455" s="19"/>
      <c r="F455" s="5"/>
      <c r="G455" s="28"/>
      <c r="H455" s="19"/>
      <c r="Q455" s="5"/>
      <c r="R455" s="9"/>
    </row>
    <row r="456">
      <c r="A456" s="44"/>
      <c r="C456" s="5"/>
      <c r="E456" s="19"/>
      <c r="F456" s="5"/>
      <c r="G456" s="28"/>
      <c r="H456" s="19"/>
      <c r="Q456" s="5"/>
      <c r="R456" s="9"/>
    </row>
    <row r="457">
      <c r="A457" s="44"/>
      <c r="C457" s="5"/>
      <c r="E457" s="19"/>
      <c r="F457" s="5"/>
      <c r="G457" s="28"/>
      <c r="H457" s="19"/>
      <c r="Q457" s="5"/>
      <c r="R457" s="9"/>
    </row>
    <row r="458">
      <c r="A458" s="44"/>
      <c r="C458" s="5"/>
      <c r="E458" s="19"/>
      <c r="F458" s="5"/>
      <c r="G458" s="28"/>
      <c r="H458" s="19"/>
      <c r="Q458" s="5"/>
      <c r="R458" s="9"/>
    </row>
    <row r="459">
      <c r="A459" s="44"/>
      <c r="C459" s="5"/>
      <c r="E459" s="19"/>
      <c r="F459" s="5"/>
      <c r="G459" s="28"/>
      <c r="H459" s="19"/>
      <c r="Q459" s="5"/>
      <c r="R459" s="9"/>
    </row>
    <row r="460">
      <c r="A460" s="44"/>
      <c r="C460" s="5"/>
      <c r="E460" s="19"/>
      <c r="F460" s="5"/>
      <c r="G460" s="28"/>
      <c r="H460" s="19"/>
      <c r="Q460" s="5"/>
      <c r="R460" s="9"/>
    </row>
    <row r="461">
      <c r="A461" s="44"/>
      <c r="C461" s="5"/>
      <c r="E461" s="19"/>
      <c r="F461" s="5"/>
      <c r="G461" s="28"/>
      <c r="H461" s="19"/>
      <c r="Q461" s="5"/>
      <c r="R461" s="9"/>
    </row>
    <row r="462">
      <c r="A462" s="44"/>
      <c r="C462" s="5"/>
      <c r="E462" s="19"/>
      <c r="F462" s="5"/>
      <c r="G462" s="28"/>
      <c r="H462" s="19"/>
      <c r="Q462" s="5"/>
      <c r="R462" s="9"/>
    </row>
    <row r="463">
      <c r="A463" s="44"/>
      <c r="C463" s="5"/>
      <c r="E463" s="19"/>
      <c r="F463" s="5"/>
      <c r="G463" s="28"/>
      <c r="H463" s="19"/>
      <c r="Q463" s="5"/>
      <c r="R463" s="9"/>
    </row>
    <row r="464">
      <c r="A464" s="44"/>
      <c r="C464" s="5"/>
      <c r="E464" s="19"/>
      <c r="F464" s="5"/>
      <c r="G464" s="28"/>
      <c r="H464" s="19"/>
      <c r="Q464" s="5"/>
      <c r="R464" s="9"/>
    </row>
    <row r="465">
      <c r="A465" s="44"/>
      <c r="C465" s="5"/>
      <c r="E465" s="19"/>
      <c r="F465" s="5"/>
      <c r="G465" s="28"/>
      <c r="H465" s="19"/>
      <c r="Q465" s="5"/>
      <c r="R465" s="9"/>
    </row>
    <row r="466">
      <c r="A466" s="44"/>
      <c r="C466" s="5"/>
      <c r="E466" s="19"/>
      <c r="F466" s="5"/>
      <c r="G466" s="28"/>
      <c r="H466" s="19"/>
      <c r="Q466" s="5"/>
      <c r="R466" s="9"/>
    </row>
    <row r="467">
      <c r="A467" s="44"/>
      <c r="C467" s="5"/>
      <c r="E467" s="19"/>
      <c r="F467" s="5"/>
      <c r="G467" s="28"/>
      <c r="H467" s="19"/>
      <c r="Q467" s="5"/>
      <c r="R467" s="9"/>
    </row>
    <row r="468">
      <c r="A468" s="44"/>
      <c r="C468" s="5"/>
      <c r="E468" s="19"/>
      <c r="F468" s="5"/>
      <c r="G468" s="28"/>
      <c r="H468" s="19"/>
      <c r="Q468" s="5"/>
      <c r="R468" s="9"/>
    </row>
    <row r="469">
      <c r="A469" s="44"/>
      <c r="C469" s="5"/>
      <c r="E469" s="19"/>
      <c r="F469" s="5"/>
      <c r="G469" s="28"/>
      <c r="H469" s="19"/>
      <c r="Q469" s="5"/>
      <c r="R469" s="9"/>
    </row>
    <row r="470">
      <c r="A470" s="44"/>
      <c r="C470" s="5"/>
      <c r="E470" s="19"/>
      <c r="F470" s="5"/>
      <c r="G470" s="28"/>
      <c r="H470" s="19"/>
      <c r="Q470" s="5"/>
      <c r="R470" s="9"/>
    </row>
    <row r="471">
      <c r="A471" s="44"/>
      <c r="C471" s="5"/>
      <c r="E471" s="19"/>
      <c r="F471" s="5"/>
      <c r="G471" s="28"/>
      <c r="H471" s="19"/>
      <c r="Q471" s="5"/>
      <c r="R471" s="9"/>
    </row>
    <row r="472">
      <c r="A472" s="44"/>
      <c r="C472" s="5"/>
      <c r="E472" s="19"/>
      <c r="F472" s="5"/>
      <c r="G472" s="28"/>
      <c r="H472" s="19"/>
      <c r="Q472" s="5"/>
      <c r="R472" s="9"/>
    </row>
    <row r="473">
      <c r="A473" s="44"/>
      <c r="C473" s="5"/>
      <c r="E473" s="19"/>
      <c r="F473" s="5"/>
      <c r="G473" s="28"/>
      <c r="H473" s="19"/>
      <c r="Q473" s="5"/>
      <c r="R473" s="9"/>
    </row>
    <row r="474">
      <c r="A474" s="44"/>
      <c r="C474" s="5"/>
      <c r="E474" s="19"/>
      <c r="F474" s="5"/>
      <c r="G474" s="28"/>
      <c r="H474" s="19"/>
      <c r="Q474" s="5"/>
      <c r="R474" s="9"/>
    </row>
    <row r="475">
      <c r="A475" s="44"/>
      <c r="C475" s="5"/>
      <c r="E475" s="19"/>
      <c r="F475" s="5"/>
      <c r="G475" s="28"/>
      <c r="H475" s="19"/>
      <c r="Q475" s="5"/>
      <c r="R475" s="9"/>
    </row>
    <row r="476">
      <c r="A476" s="44"/>
      <c r="C476" s="5"/>
      <c r="E476" s="19"/>
      <c r="F476" s="5"/>
      <c r="G476" s="28"/>
      <c r="H476" s="19"/>
      <c r="Q476" s="5"/>
      <c r="R476" s="9"/>
    </row>
    <row r="477">
      <c r="A477" s="44"/>
      <c r="C477" s="5"/>
      <c r="E477" s="19"/>
      <c r="F477" s="5"/>
      <c r="G477" s="28"/>
      <c r="H477" s="19"/>
      <c r="Q477" s="5"/>
      <c r="R477" s="9"/>
    </row>
    <row r="478">
      <c r="A478" s="44"/>
      <c r="C478" s="5"/>
      <c r="E478" s="19"/>
      <c r="F478" s="5"/>
      <c r="G478" s="28"/>
      <c r="H478" s="19"/>
      <c r="Q478" s="5"/>
      <c r="R478" s="9"/>
    </row>
    <row r="479">
      <c r="A479" s="44"/>
      <c r="C479" s="5"/>
      <c r="E479" s="19"/>
      <c r="F479" s="5"/>
      <c r="G479" s="28"/>
      <c r="H479" s="19"/>
      <c r="Q479" s="5"/>
      <c r="R479" s="9"/>
    </row>
    <row r="480">
      <c r="A480" s="44"/>
      <c r="C480" s="5"/>
      <c r="E480" s="19"/>
      <c r="F480" s="5"/>
      <c r="G480" s="28"/>
      <c r="H480" s="19"/>
      <c r="Q480" s="5"/>
      <c r="R480" s="9"/>
    </row>
    <row r="481">
      <c r="A481" s="44"/>
      <c r="C481" s="5"/>
      <c r="E481" s="19"/>
      <c r="F481" s="5"/>
      <c r="G481" s="28"/>
      <c r="H481" s="19"/>
      <c r="Q481" s="5"/>
      <c r="R481" s="9"/>
    </row>
    <row r="482">
      <c r="A482" s="44"/>
      <c r="C482" s="5"/>
      <c r="E482" s="19"/>
      <c r="F482" s="5"/>
      <c r="G482" s="28"/>
      <c r="H482" s="19"/>
      <c r="Q482" s="5"/>
      <c r="R482" s="9"/>
    </row>
    <row r="483">
      <c r="A483" s="44"/>
      <c r="C483" s="5"/>
      <c r="E483" s="19"/>
      <c r="F483" s="5"/>
      <c r="G483" s="28"/>
      <c r="H483" s="19"/>
      <c r="Q483" s="5"/>
      <c r="R483" s="9"/>
    </row>
    <row r="484">
      <c r="A484" s="44"/>
      <c r="C484" s="5"/>
      <c r="E484" s="19"/>
      <c r="F484" s="5"/>
      <c r="G484" s="28"/>
      <c r="H484" s="19"/>
      <c r="Q484" s="5"/>
      <c r="R484" s="9"/>
    </row>
    <row r="485">
      <c r="A485" s="44"/>
      <c r="C485" s="5"/>
      <c r="E485" s="19"/>
      <c r="F485" s="5"/>
      <c r="G485" s="28"/>
      <c r="H485" s="19"/>
      <c r="Q485" s="5"/>
      <c r="R485" s="9"/>
    </row>
    <row r="486">
      <c r="A486" s="44"/>
      <c r="C486" s="5"/>
      <c r="E486" s="19"/>
      <c r="F486" s="5"/>
      <c r="G486" s="28"/>
      <c r="H486" s="19"/>
      <c r="Q486" s="5"/>
      <c r="R486" s="9"/>
    </row>
    <row r="487">
      <c r="A487" s="44"/>
      <c r="C487" s="5"/>
      <c r="E487" s="19"/>
      <c r="F487" s="5"/>
      <c r="G487" s="28"/>
      <c r="H487" s="19"/>
      <c r="Q487" s="5"/>
      <c r="R487" s="9"/>
    </row>
    <row r="488">
      <c r="A488" s="44"/>
      <c r="C488" s="5"/>
      <c r="E488" s="19"/>
      <c r="F488" s="5"/>
      <c r="G488" s="28"/>
      <c r="H488" s="19"/>
      <c r="Q488" s="5"/>
      <c r="R488" s="9"/>
    </row>
    <row r="489">
      <c r="A489" s="44"/>
      <c r="C489" s="5"/>
      <c r="E489" s="19"/>
      <c r="F489" s="5"/>
      <c r="G489" s="28"/>
      <c r="H489" s="19"/>
      <c r="Q489" s="5"/>
      <c r="R489" s="9"/>
    </row>
    <row r="490">
      <c r="A490" s="44"/>
      <c r="C490" s="5"/>
      <c r="E490" s="19"/>
      <c r="F490" s="5"/>
      <c r="G490" s="28"/>
      <c r="H490" s="19"/>
      <c r="Q490" s="5"/>
      <c r="R490" s="9"/>
    </row>
    <row r="491">
      <c r="A491" s="44"/>
      <c r="C491" s="5"/>
      <c r="E491" s="19"/>
      <c r="F491" s="5"/>
      <c r="G491" s="28"/>
      <c r="H491" s="19"/>
      <c r="Q491" s="5"/>
      <c r="R491" s="9"/>
    </row>
    <row r="492">
      <c r="A492" s="44"/>
      <c r="C492" s="5"/>
      <c r="E492" s="19"/>
      <c r="F492" s="5"/>
      <c r="G492" s="28"/>
      <c r="H492" s="19"/>
      <c r="Q492" s="5"/>
      <c r="R492" s="9"/>
    </row>
    <row r="493">
      <c r="A493" s="44"/>
      <c r="C493" s="5"/>
      <c r="E493" s="19"/>
      <c r="F493" s="5"/>
      <c r="G493" s="28"/>
      <c r="H493" s="19"/>
      <c r="Q493" s="5"/>
      <c r="R493" s="9"/>
    </row>
    <row r="494">
      <c r="A494" s="44"/>
      <c r="C494" s="5"/>
      <c r="E494" s="19"/>
      <c r="F494" s="5"/>
      <c r="G494" s="28"/>
      <c r="H494" s="19"/>
      <c r="Q494" s="5"/>
      <c r="R494" s="9"/>
    </row>
    <row r="495">
      <c r="A495" s="44"/>
      <c r="C495" s="5"/>
      <c r="E495" s="19"/>
      <c r="F495" s="5"/>
      <c r="G495" s="28"/>
      <c r="H495" s="19"/>
      <c r="Q495" s="5"/>
      <c r="R495" s="9"/>
    </row>
    <row r="496">
      <c r="A496" s="44"/>
      <c r="C496" s="5"/>
      <c r="E496" s="19"/>
      <c r="F496" s="5"/>
      <c r="G496" s="28"/>
      <c r="H496" s="19"/>
      <c r="Q496" s="5"/>
      <c r="R496" s="9"/>
    </row>
    <row r="497">
      <c r="A497" s="44"/>
      <c r="C497" s="5"/>
      <c r="E497" s="19"/>
      <c r="F497" s="5"/>
      <c r="G497" s="28"/>
      <c r="H497" s="19"/>
      <c r="Q497" s="5"/>
      <c r="R497" s="9"/>
    </row>
    <row r="498">
      <c r="A498" s="44"/>
      <c r="C498" s="5"/>
      <c r="E498" s="19"/>
      <c r="F498" s="5"/>
      <c r="G498" s="28"/>
      <c r="H498" s="19"/>
      <c r="Q498" s="5"/>
      <c r="R498" s="9"/>
    </row>
    <row r="499">
      <c r="A499" s="44"/>
      <c r="C499" s="5"/>
      <c r="E499" s="19"/>
      <c r="F499" s="5"/>
      <c r="G499" s="28"/>
      <c r="H499" s="19"/>
      <c r="Q499" s="5"/>
      <c r="R499" s="9"/>
    </row>
    <row r="500">
      <c r="A500" s="44"/>
      <c r="C500" s="5"/>
      <c r="E500" s="19"/>
      <c r="F500" s="5"/>
      <c r="G500" s="28"/>
      <c r="H500" s="19"/>
      <c r="Q500" s="5"/>
      <c r="R500" s="9"/>
    </row>
    <row r="501">
      <c r="A501" s="44"/>
      <c r="C501" s="5"/>
      <c r="E501" s="19"/>
      <c r="F501" s="5"/>
      <c r="G501" s="28"/>
      <c r="H501" s="19"/>
      <c r="Q501" s="5"/>
      <c r="R501" s="9"/>
    </row>
    <row r="502">
      <c r="A502" s="44"/>
      <c r="C502" s="5"/>
      <c r="E502" s="19"/>
      <c r="F502" s="5"/>
      <c r="G502" s="28"/>
      <c r="H502" s="19"/>
      <c r="Q502" s="5"/>
      <c r="R502" s="9"/>
    </row>
    <row r="503">
      <c r="A503" s="44"/>
      <c r="C503" s="5"/>
      <c r="E503" s="19"/>
      <c r="F503" s="5"/>
      <c r="G503" s="28"/>
      <c r="H503" s="19"/>
      <c r="Q503" s="5"/>
      <c r="R503" s="9"/>
    </row>
    <row r="504">
      <c r="A504" s="44"/>
      <c r="C504" s="5"/>
      <c r="E504" s="19"/>
      <c r="F504" s="5"/>
      <c r="G504" s="28"/>
      <c r="H504" s="19"/>
      <c r="Q504" s="5"/>
      <c r="R504" s="9"/>
    </row>
    <row r="505">
      <c r="A505" s="44"/>
      <c r="C505" s="5"/>
      <c r="E505" s="19"/>
      <c r="F505" s="5"/>
      <c r="G505" s="28"/>
      <c r="H505" s="19"/>
      <c r="Q505" s="5"/>
      <c r="R505" s="9"/>
    </row>
    <row r="506">
      <c r="A506" s="44"/>
      <c r="C506" s="5"/>
      <c r="E506" s="19"/>
      <c r="F506" s="5"/>
      <c r="G506" s="28"/>
      <c r="H506" s="19"/>
      <c r="Q506" s="5"/>
      <c r="R506" s="9"/>
    </row>
    <row r="507">
      <c r="A507" s="44"/>
      <c r="C507" s="5"/>
      <c r="E507" s="19"/>
      <c r="F507" s="5"/>
      <c r="G507" s="28"/>
      <c r="H507" s="19"/>
      <c r="Q507" s="5"/>
      <c r="R507" s="9"/>
    </row>
    <row r="508">
      <c r="A508" s="44"/>
      <c r="C508" s="5"/>
      <c r="E508" s="19"/>
      <c r="F508" s="5"/>
      <c r="G508" s="28"/>
      <c r="H508" s="19"/>
      <c r="Q508" s="5"/>
      <c r="R508" s="9"/>
    </row>
    <row r="509">
      <c r="A509" s="44"/>
      <c r="C509" s="5"/>
      <c r="E509" s="19"/>
      <c r="F509" s="5"/>
      <c r="G509" s="28"/>
      <c r="H509" s="19"/>
      <c r="Q509" s="5"/>
      <c r="R509" s="9"/>
    </row>
    <row r="510">
      <c r="A510" s="44"/>
      <c r="C510" s="5"/>
      <c r="E510" s="19"/>
      <c r="F510" s="5"/>
      <c r="G510" s="28"/>
      <c r="H510" s="19"/>
      <c r="Q510" s="5"/>
      <c r="R510" s="9"/>
    </row>
    <row r="511">
      <c r="A511" s="44"/>
      <c r="C511" s="5"/>
      <c r="E511" s="19"/>
      <c r="F511" s="5"/>
      <c r="G511" s="28"/>
      <c r="H511" s="19"/>
      <c r="Q511" s="5"/>
      <c r="R511" s="9"/>
    </row>
    <row r="512">
      <c r="A512" s="44"/>
      <c r="C512" s="5"/>
      <c r="E512" s="19"/>
      <c r="F512" s="5"/>
      <c r="G512" s="28"/>
      <c r="H512" s="19"/>
      <c r="Q512" s="5"/>
      <c r="R512" s="9"/>
    </row>
    <row r="513">
      <c r="A513" s="44"/>
      <c r="C513" s="5"/>
      <c r="E513" s="19"/>
      <c r="F513" s="5"/>
      <c r="G513" s="28"/>
      <c r="H513" s="19"/>
      <c r="Q513" s="5"/>
      <c r="R513" s="9"/>
    </row>
    <row r="514">
      <c r="A514" s="44"/>
      <c r="C514" s="5"/>
      <c r="E514" s="19"/>
      <c r="F514" s="5"/>
      <c r="G514" s="28"/>
      <c r="H514" s="19"/>
      <c r="Q514" s="5"/>
      <c r="R514" s="9"/>
    </row>
    <row r="515">
      <c r="A515" s="44"/>
      <c r="C515" s="5"/>
      <c r="E515" s="19"/>
      <c r="F515" s="5"/>
      <c r="G515" s="28"/>
      <c r="H515" s="19"/>
      <c r="Q515" s="5"/>
      <c r="R515" s="9"/>
    </row>
    <row r="516">
      <c r="A516" s="44"/>
      <c r="C516" s="5"/>
      <c r="E516" s="19"/>
      <c r="F516" s="5"/>
      <c r="G516" s="28"/>
      <c r="H516" s="19"/>
      <c r="Q516" s="5"/>
      <c r="R516" s="9"/>
    </row>
    <row r="517">
      <c r="A517" s="44"/>
      <c r="C517" s="5"/>
      <c r="E517" s="19"/>
      <c r="F517" s="5"/>
      <c r="G517" s="28"/>
      <c r="H517" s="19"/>
      <c r="Q517" s="5"/>
      <c r="R517" s="9"/>
    </row>
    <row r="518">
      <c r="A518" s="44"/>
      <c r="C518" s="5"/>
      <c r="E518" s="19"/>
      <c r="F518" s="5"/>
      <c r="G518" s="28"/>
      <c r="H518" s="19"/>
      <c r="Q518" s="5"/>
      <c r="R518" s="9"/>
    </row>
    <row r="519">
      <c r="A519" s="44"/>
      <c r="C519" s="5"/>
      <c r="E519" s="19"/>
      <c r="F519" s="5"/>
      <c r="G519" s="28"/>
      <c r="H519" s="19"/>
      <c r="Q519" s="5"/>
      <c r="R519" s="9"/>
    </row>
    <row r="520">
      <c r="A520" s="44"/>
      <c r="C520" s="5"/>
      <c r="E520" s="19"/>
      <c r="F520" s="5"/>
      <c r="G520" s="28"/>
      <c r="H520" s="19"/>
      <c r="Q520" s="5"/>
      <c r="R520" s="9"/>
    </row>
    <row r="521">
      <c r="A521" s="44"/>
      <c r="C521" s="5"/>
      <c r="E521" s="19"/>
      <c r="F521" s="5"/>
      <c r="G521" s="28"/>
      <c r="H521" s="19"/>
      <c r="Q521" s="5"/>
      <c r="R521" s="9"/>
    </row>
    <row r="522">
      <c r="A522" s="44"/>
      <c r="C522" s="5"/>
      <c r="E522" s="19"/>
      <c r="F522" s="5"/>
      <c r="G522" s="28"/>
      <c r="H522" s="19"/>
      <c r="Q522" s="5"/>
      <c r="R522" s="9"/>
    </row>
    <row r="523">
      <c r="A523" s="44"/>
      <c r="C523" s="5"/>
      <c r="E523" s="19"/>
      <c r="F523" s="5"/>
      <c r="G523" s="28"/>
      <c r="H523" s="19"/>
      <c r="Q523" s="5"/>
      <c r="R523" s="9"/>
    </row>
    <row r="524">
      <c r="A524" s="44"/>
      <c r="C524" s="5"/>
      <c r="E524" s="19"/>
      <c r="F524" s="5"/>
      <c r="G524" s="28"/>
      <c r="H524" s="19"/>
      <c r="Q524" s="5"/>
      <c r="R524" s="9"/>
    </row>
    <row r="525">
      <c r="A525" s="44"/>
      <c r="C525" s="5"/>
      <c r="E525" s="19"/>
      <c r="F525" s="5"/>
      <c r="G525" s="28"/>
      <c r="H525" s="19"/>
      <c r="Q525" s="5"/>
      <c r="R525" s="9"/>
    </row>
    <row r="526">
      <c r="A526" s="44"/>
      <c r="C526" s="5"/>
      <c r="E526" s="19"/>
      <c r="F526" s="5"/>
      <c r="G526" s="28"/>
      <c r="H526" s="19"/>
      <c r="Q526" s="5"/>
      <c r="R526" s="9"/>
    </row>
    <row r="527">
      <c r="A527" s="44"/>
      <c r="C527" s="5"/>
      <c r="E527" s="19"/>
      <c r="F527" s="5"/>
      <c r="G527" s="28"/>
      <c r="H527" s="19"/>
      <c r="Q527" s="5"/>
      <c r="R527" s="9"/>
    </row>
    <row r="528">
      <c r="A528" s="44"/>
      <c r="C528" s="5"/>
      <c r="E528" s="19"/>
      <c r="F528" s="5"/>
      <c r="G528" s="28"/>
      <c r="H528" s="19"/>
      <c r="Q528" s="5"/>
      <c r="R528" s="9"/>
    </row>
    <row r="529">
      <c r="A529" s="44"/>
      <c r="C529" s="5"/>
      <c r="E529" s="19"/>
      <c r="F529" s="5"/>
      <c r="G529" s="28"/>
      <c r="H529" s="19"/>
      <c r="Q529" s="5"/>
      <c r="R529" s="9"/>
    </row>
    <row r="530">
      <c r="A530" s="44"/>
      <c r="C530" s="5"/>
      <c r="E530" s="19"/>
      <c r="F530" s="5"/>
      <c r="G530" s="28"/>
      <c r="H530" s="19"/>
      <c r="Q530" s="5"/>
      <c r="R530" s="9"/>
    </row>
    <row r="531">
      <c r="A531" s="44"/>
      <c r="C531" s="5"/>
      <c r="E531" s="19"/>
      <c r="F531" s="5"/>
      <c r="G531" s="28"/>
      <c r="H531" s="19"/>
      <c r="Q531" s="5"/>
      <c r="R531" s="9"/>
    </row>
    <row r="532">
      <c r="A532" s="44"/>
      <c r="C532" s="5"/>
      <c r="E532" s="19"/>
      <c r="F532" s="5"/>
      <c r="G532" s="28"/>
      <c r="H532" s="19"/>
      <c r="Q532" s="5"/>
      <c r="R532" s="9"/>
    </row>
    <row r="533">
      <c r="A533" s="44"/>
      <c r="C533" s="5"/>
      <c r="E533" s="19"/>
      <c r="F533" s="5"/>
      <c r="G533" s="28"/>
      <c r="H533" s="19"/>
      <c r="Q533" s="5"/>
      <c r="R533" s="9"/>
    </row>
    <row r="534">
      <c r="A534" s="44"/>
      <c r="C534" s="5"/>
      <c r="E534" s="19"/>
      <c r="F534" s="5"/>
      <c r="G534" s="28"/>
      <c r="H534" s="19"/>
      <c r="Q534" s="5"/>
      <c r="R534" s="9"/>
    </row>
    <row r="535">
      <c r="A535" s="44"/>
      <c r="C535" s="5"/>
      <c r="E535" s="19"/>
      <c r="F535" s="5"/>
      <c r="G535" s="28"/>
      <c r="H535" s="19"/>
      <c r="Q535" s="5"/>
      <c r="R535" s="9"/>
    </row>
    <row r="536">
      <c r="A536" s="44"/>
      <c r="C536" s="5"/>
      <c r="E536" s="19"/>
      <c r="F536" s="5"/>
      <c r="G536" s="28"/>
      <c r="H536" s="19"/>
      <c r="Q536" s="5"/>
      <c r="R536" s="9"/>
    </row>
    <row r="537">
      <c r="A537" s="44"/>
      <c r="C537" s="5"/>
      <c r="E537" s="19"/>
      <c r="F537" s="5"/>
      <c r="G537" s="28"/>
      <c r="H537" s="19"/>
      <c r="Q537" s="5"/>
      <c r="R537" s="9"/>
    </row>
    <row r="538">
      <c r="A538" s="44"/>
      <c r="C538" s="5"/>
      <c r="E538" s="19"/>
      <c r="F538" s="5"/>
      <c r="G538" s="28"/>
      <c r="H538" s="19"/>
      <c r="Q538" s="5"/>
      <c r="R538" s="9"/>
    </row>
    <row r="539">
      <c r="A539" s="44"/>
      <c r="C539" s="5"/>
      <c r="E539" s="19"/>
      <c r="F539" s="5"/>
      <c r="G539" s="28"/>
      <c r="H539" s="19"/>
      <c r="Q539" s="5"/>
      <c r="R539" s="9"/>
    </row>
    <row r="540">
      <c r="A540" s="44"/>
      <c r="C540" s="5"/>
      <c r="E540" s="19"/>
      <c r="F540" s="5"/>
      <c r="G540" s="28"/>
      <c r="H540" s="19"/>
      <c r="Q540" s="5"/>
      <c r="R540" s="9"/>
    </row>
    <row r="541">
      <c r="A541" s="44"/>
      <c r="C541" s="5"/>
      <c r="E541" s="19"/>
      <c r="F541" s="5"/>
      <c r="G541" s="28"/>
      <c r="H541" s="19"/>
      <c r="Q541" s="5"/>
      <c r="R541" s="9"/>
    </row>
    <row r="542">
      <c r="A542" s="44"/>
      <c r="C542" s="5"/>
      <c r="E542" s="19"/>
      <c r="F542" s="5"/>
      <c r="G542" s="28"/>
      <c r="H542" s="19"/>
      <c r="Q542" s="5"/>
      <c r="R542" s="9"/>
    </row>
    <row r="543">
      <c r="A543" s="44"/>
      <c r="C543" s="5"/>
      <c r="E543" s="19"/>
      <c r="F543" s="5"/>
      <c r="G543" s="28"/>
      <c r="H543" s="19"/>
      <c r="Q543" s="5"/>
      <c r="R543" s="9"/>
    </row>
    <row r="544">
      <c r="A544" s="44"/>
      <c r="C544" s="5"/>
      <c r="E544" s="19"/>
      <c r="F544" s="5"/>
      <c r="G544" s="28"/>
      <c r="H544" s="19"/>
      <c r="Q544" s="5"/>
      <c r="R544" s="9"/>
    </row>
    <row r="545">
      <c r="A545" s="44"/>
      <c r="C545" s="5"/>
      <c r="E545" s="19"/>
      <c r="F545" s="5"/>
      <c r="G545" s="28"/>
      <c r="H545" s="19"/>
      <c r="Q545" s="5"/>
      <c r="R545" s="9"/>
    </row>
    <row r="546">
      <c r="A546" s="44"/>
      <c r="C546" s="5"/>
      <c r="E546" s="19"/>
      <c r="F546" s="5"/>
      <c r="G546" s="28"/>
      <c r="H546" s="19"/>
      <c r="Q546" s="5"/>
      <c r="R546" s="9"/>
    </row>
    <row r="547">
      <c r="A547" s="44"/>
      <c r="C547" s="5"/>
      <c r="E547" s="19"/>
      <c r="F547" s="5"/>
      <c r="G547" s="28"/>
      <c r="H547" s="19"/>
      <c r="Q547" s="5"/>
      <c r="R547" s="9"/>
    </row>
    <row r="548">
      <c r="A548" s="44"/>
      <c r="C548" s="5"/>
      <c r="E548" s="19"/>
      <c r="F548" s="5"/>
      <c r="G548" s="28"/>
      <c r="H548" s="19"/>
      <c r="Q548" s="5"/>
      <c r="R548" s="9"/>
    </row>
    <row r="549">
      <c r="A549" s="44"/>
      <c r="C549" s="5"/>
      <c r="E549" s="19"/>
      <c r="F549" s="5"/>
      <c r="G549" s="28"/>
      <c r="H549" s="19"/>
      <c r="Q549" s="5"/>
      <c r="R549" s="9"/>
    </row>
    <row r="550">
      <c r="A550" s="44"/>
      <c r="C550" s="5"/>
      <c r="E550" s="19"/>
      <c r="F550" s="5"/>
      <c r="G550" s="28"/>
      <c r="H550" s="19"/>
      <c r="Q550" s="5"/>
      <c r="R550" s="9"/>
    </row>
    <row r="551">
      <c r="A551" s="44"/>
      <c r="C551" s="5"/>
      <c r="E551" s="19"/>
      <c r="F551" s="5"/>
      <c r="G551" s="28"/>
      <c r="H551" s="19"/>
      <c r="Q551" s="5"/>
      <c r="R551" s="9"/>
    </row>
    <row r="552">
      <c r="A552" s="44"/>
      <c r="C552" s="5"/>
      <c r="E552" s="19"/>
      <c r="F552" s="5"/>
      <c r="G552" s="28"/>
      <c r="H552" s="19"/>
      <c r="Q552" s="5"/>
      <c r="R552" s="9"/>
    </row>
    <row r="553">
      <c r="A553" s="44"/>
      <c r="C553" s="5"/>
      <c r="E553" s="19"/>
      <c r="F553" s="5"/>
      <c r="G553" s="28"/>
      <c r="H553" s="19"/>
      <c r="Q553" s="5"/>
      <c r="R553" s="9"/>
    </row>
    <row r="554">
      <c r="A554" s="44"/>
      <c r="C554" s="5"/>
      <c r="E554" s="19"/>
      <c r="F554" s="5"/>
      <c r="G554" s="28"/>
      <c r="H554" s="19"/>
      <c r="Q554" s="5"/>
      <c r="R554" s="9"/>
    </row>
    <row r="555">
      <c r="A555" s="44"/>
      <c r="C555" s="5"/>
      <c r="E555" s="19"/>
      <c r="F555" s="5"/>
      <c r="G555" s="28"/>
      <c r="H555" s="19"/>
      <c r="Q555" s="5"/>
      <c r="R555" s="9"/>
    </row>
    <row r="556">
      <c r="A556" s="44"/>
      <c r="C556" s="5"/>
      <c r="E556" s="19"/>
      <c r="F556" s="5"/>
      <c r="G556" s="28"/>
      <c r="H556" s="19"/>
      <c r="Q556" s="5"/>
      <c r="R556" s="9"/>
    </row>
    <row r="557">
      <c r="A557" s="44"/>
      <c r="C557" s="5"/>
      <c r="E557" s="19"/>
      <c r="F557" s="5"/>
      <c r="G557" s="28"/>
      <c r="H557" s="19"/>
      <c r="Q557" s="5"/>
      <c r="R557" s="9"/>
    </row>
    <row r="558">
      <c r="A558" s="44"/>
      <c r="C558" s="5"/>
      <c r="E558" s="19"/>
      <c r="F558" s="5"/>
      <c r="G558" s="28"/>
      <c r="H558" s="19"/>
      <c r="Q558" s="5"/>
      <c r="R558" s="9"/>
    </row>
    <row r="559">
      <c r="A559" s="44"/>
      <c r="C559" s="5"/>
      <c r="E559" s="19"/>
      <c r="F559" s="5"/>
      <c r="G559" s="28"/>
      <c r="H559" s="19"/>
      <c r="Q559" s="5"/>
      <c r="R559" s="9"/>
    </row>
    <row r="560">
      <c r="A560" s="44"/>
      <c r="C560" s="5"/>
      <c r="E560" s="19"/>
      <c r="F560" s="5"/>
      <c r="G560" s="28"/>
      <c r="H560" s="19"/>
      <c r="Q560" s="5"/>
      <c r="R560" s="9"/>
    </row>
    <row r="561">
      <c r="A561" s="44"/>
      <c r="C561" s="5"/>
      <c r="E561" s="19"/>
      <c r="F561" s="5"/>
      <c r="G561" s="28"/>
      <c r="H561" s="19"/>
      <c r="Q561" s="5"/>
      <c r="R561" s="9"/>
    </row>
    <row r="562">
      <c r="A562" s="44"/>
      <c r="C562" s="5"/>
      <c r="E562" s="19"/>
      <c r="F562" s="5"/>
      <c r="G562" s="28"/>
      <c r="H562" s="19"/>
      <c r="Q562" s="5"/>
      <c r="R562" s="9"/>
    </row>
    <row r="563">
      <c r="A563" s="44"/>
      <c r="C563" s="5"/>
      <c r="E563" s="19"/>
      <c r="F563" s="5"/>
      <c r="G563" s="28"/>
      <c r="H563" s="19"/>
      <c r="Q563" s="5"/>
      <c r="R563" s="9"/>
    </row>
    <row r="564">
      <c r="A564" s="44"/>
      <c r="C564" s="5"/>
      <c r="E564" s="19"/>
      <c r="F564" s="5"/>
      <c r="G564" s="28"/>
      <c r="H564" s="19"/>
      <c r="Q564" s="5"/>
      <c r="R564" s="9"/>
    </row>
    <row r="565">
      <c r="A565" s="44"/>
      <c r="C565" s="5"/>
      <c r="E565" s="19"/>
      <c r="F565" s="5"/>
      <c r="G565" s="28"/>
      <c r="H565" s="19"/>
      <c r="Q565" s="5"/>
      <c r="R565" s="9"/>
    </row>
    <row r="566">
      <c r="A566" s="44"/>
      <c r="C566" s="5"/>
      <c r="E566" s="19"/>
      <c r="F566" s="5"/>
      <c r="G566" s="28"/>
      <c r="H566" s="19"/>
      <c r="Q566" s="5"/>
      <c r="R566" s="9"/>
    </row>
    <row r="567">
      <c r="A567" s="44"/>
      <c r="C567" s="5"/>
      <c r="E567" s="19"/>
      <c r="F567" s="5"/>
      <c r="G567" s="28"/>
      <c r="H567" s="19"/>
      <c r="Q567" s="5"/>
      <c r="R567" s="9"/>
    </row>
    <row r="568">
      <c r="A568" s="44"/>
      <c r="C568" s="5"/>
      <c r="E568" s="19"/>
      <c r="F568" s="5"/>
      <c r="G568" s="28"/>
      <c r="H568" s="19"/>
      <c r="Q568" s="5"/>
      <c r="R568" s="9"/>
    </row>
    <row r="569">
      <c r="A569" s="44"/>
      <c r="C569" s="5"/>
      <c r="E569" s="19"/>
      <c r="F569" s="5"/>
      <c r="G569" s="28"/>
      <c r="H569" s="19"/>
      <c r="Q569" s="5"/>
      <c r="R569" s="9"/>
    </row>
    <row r="570">
      <c r="A570" s="44"/>
      <c r="C570" s="5"/>
      <c r="E570" s="19"/>
      <c r="F570" s="5"/>
      <c r="G570" s="28"/>
      <c r="H570" s="19"/>
      <c r="Q570" s="5"/>
      <c r="R570" s="9"/>
    </row>
    <row r="571">
      <c r="A571" s="44"/>
      <c r="C571" s="5"/>
      <c r="E571" s="19"/>
      <c r="F571" s="5"/>
      <c r="G571" s="28"/>
      <c r="H571" s="19"/>
      <c r="Q571" s="5"/>
      <c r="R571" s="9"/>
    </row>
    <row r="572">
      <c r="A572" s="44"/>
      <c r="C572" s="5"/>
      <c r="E572" s="19"/>
      <c r="F572" s="5"/>
      <c r="G572" s="28"/>
      <c r="H572" s="19"/>
      <c r="Q572" s="5"/>
      <c r="R572" s="9"/>
    </row>
    <row r="573">
      <c r="A573" s="44"/>
      <c r="C573" s="5"/>
      <c r="E573" s="19"/>
      <c r="F573" s="5"/>
      <c r="G573" s="28"/>
      <c r="H573" s="19"/>
      <c r="Q573" s="5"/>
      <c r="R573" s="9"/>
    </row>
    <row r="574">
      <c r="A574" s="44"/>
      <c r="C574" s="5"/>
      <c r="E574" s="19"/>
      <c r="F574" s="5"/>
      <c r="G574" s="28"/>
      <c r="H574" s="19"/>
      <c r="Q574" s="5"/>
      <c r="R574" s="9"/>
    </row>
    <row r="575">
      <c r="A575" s="44"/>
      <c r="C575" s="5"/>
      <c r="E575" s="19"/>
      <c r="F575" s="5"/>
      <c r="G575" s="28"/>
      <c r="H575" s="19"/>
      <c r="Q575" s="5"/>
      <c r="R575" s="9"/>
    </row>
    <row r="576">
      <c r="A576" s="44"/>
      <c r="C576" s="5"/>
      <c r="E576" s="19"/>
      <c r="F576" s="5"/>
      <c r="G576" s="28"/>
      <c r="H576" s="19"/>
      <c r="Q576" s="5"/>
      <c r="R576" s="9"/>
    </row>
    <row r="577">
      <c r="A577" s="44"/>
      <c r="C577" s="5"/>
      <c r="E577" s="19"/>
      <c r="F577" s="5"/>
      <c r="G577" s="28"/>
      <c r="H577" s="19"/>
      <c r="Q577" s="5"/>
      <c r="R577" s="9"/>
    </row>
    <row r="578">
      <c r="A578" s="44"/>
      <c r="C578" s="5"/>
      <c r="E578" s="19"/>
      <c r="F578" s="5"/>
      <c r="G578" s="28"/>
      <c r="H578" s="19"/>
      <c r="Q578" s="5"/>
      <c r="R578" s="9"/>
    </row>
    <row r="579">
      <c r="A579" s="44"/>
      <c r="C579" s="5"/>
      <c r="E579" s="19"/>
      <c r="F579" s="5"/>
      <c r="G579" s="28"/>
      <c r="H579" s="19"/>
      <c r="Q579" s="5"/>
      <c r="R579" s="9"/>
    </row>
    <row r="580">
      <c r="A580" s="44"/>
      <c r="C580" s="5"/>
      <c r="E580" s="19"/>
      <c r="F580" s="5"/>
      <c r="G580" s="28"/>
      <c r="H580" s="19"/>
      <c r="Q580" s="5"/>
      <c r="R580" s="9"/>
    </row>
    <row r="581">
      <c r="A581" s="44"/>
      <c r="C581" s="5"/>
      <c r="E581" s="19"/>
      <c r="F581" s="5"/>
      <c r="G581" s="28"/>
      <c r="H581" s="19"/>
      <c r="Q581" s="5"/>
      <c r="R581" s="9"/>
    </row>
    <row r="582">
      <c r="A582" s="44"/>
      <c r="C582" s="5"/>
      <c r="E582" s="19"/>
      <c r="F582" s="5"/>
      <c r="G582" s="28"/>
      <c r="H582" s="19"/>
      <c r="Q582" s="5"/>
      <c r="R582" s="9"/>
    </row>
    <row r="583">
      <c r="A583" s="44"/>
      <c r="C583" s="5"/>
      <c r="E583" s="19"/>
      <c r="F583" s="5"/>
      <c r="G583" s="28"/>
      <c r="H583" s="19"/>
      <c r="Q583" s="5"/>
      <c r="R583" s="9"/>
    </row>
    <row r="584">
      <c r="A584" s="44"/>
      <c r="C584" s="5"/>
      <c r="E584" s="19"/>
      <c r="F584" s="5"/>
      <c r="G584" s="28"/>
      <c r="H584" s="19"/>
      <c r="Q584" s="5"/>
      <c r="R584" s="9"/>
    </row>
    <row r="585">
      <c r="A585" s="44"/>
      <c r="C585" s="5"/>
      <c r="E585" s="19"/>
      <c r="F585" s="5"/>
      <c r="G585" s="28"/>
      <c r="H585" s="19"/>
      <c r="Q585" s="5"/>
      <c r="R585" s="9"/>
    </row>
    <row r="586">
      <c r="A586" s="44"/>
      <c r="C586" s="5"/>
      <c r="E586" s="19"/>
      <c r="F586" s="5"/>
      <c r="G586" s="28"/>
      <c r="H586" s="19"/>
      <c r="Q586" s="5"/>
      <c r="R586" s="9"/>
    </row>
    <row r="587">
      <c r="A587" s="44"/>
      <c r="C587" s="5"/>
      <c r="E587" s="19"/>
      <c r="F587" s="5"/>
      <c r="G587" s="28"/>
      <c r="H587" s="19"/>
      <c r="Q587" s="5"/>
      <c r="R587" s="9"/>
    </row>
    <row r="588">
      <c r="A588" s="44"/>
      <c r="C588" s="5"/>
      <c r="E588" s="19"/>
      <c r="F588" s="5"/>
      <c r="G588" s="28"/>
      <c r="H588" s="19"/>
      <c r="Q588" s="5"/>
      <c r="R588" s="9"/>
    </row>
    <row r="589">
      <c r="A589" s="44"/>
      <c r="C589" s="5"/>
      <c r="E589" s="19"/>
      <c r="F589" s="5"/>
      <c r="G589" s="28"/>
      <c r="H589" s="19"/>
      <c r="Q589" s="5"/>
      <c r="R589" s="9"/>
    </row>
    <row r="590">
      <c r="A590" s="44"/>
      <c r="C590" s="5"/>
      <c r="E590" s="19"/>
      <c r="F590" s="5"/>
      <c r="G590" s="28"/>
      <c r="H590" s="19"/>
      <c r="Q590" s="5"/>
      <c r="R590" s="9"/>
    </row>
    <row r="591">
      <c r="A591" s="44"/>
      <c r="C591" s="5"/>
      <c r="E591" s="19"/>
      <c r="F591" s="5"/>
      <c r="G591" s="28"/>
      <c r="H591" s="19"/>
      <c r="Q591" s="5"/>
      <c r="R591" s="9"/>
    </row>
    <row r="592">
      <c r="A592" s="44"/>
      <c r="C592" s="5"/>
      <c r="E592" s="19"/>
      <c r="F592" s="5"/>
      <c r="G592" s="28"/>
      <c r="H592" s="19"/>
      <c r="Q592" s="5"/>
      <c r="R592" s="9"/>
    </row>
    <row r="593">
      <c r="A593" s="44"/>
      <c r="C593" s="5"/>
      <c r="E593" s="19"/>
      <c r="F593" s="5"/>
      <c r="G593" s="28"/>
      <c r="H593" s="19"/>
      <c r="Q593" s="5"/>
      <c r="R593" s="9"/>
    </row>
    <row r="594">
      <c r="A594" s="44"/>
      <c r="C594" s="5"/>
      <c r="E594" s="19"/>
      <c r="F594" s="5"/>
      <c r="G594" s="28"/>
      <c r="H594" s="19"/>
      <c r="Q594" s="5"/>
      <c r="R594" s="9"/>
    </row>
    <row r="595">
      <c r="A595" s="44"/>
      <c r="C595" s="5"/>
      <c r="E595" s="19"/>
      <c r="F595" s="5"/>
      <c r="G595" s="28"/>
      <c r="H595" s="19"/>
      <c r="Q595" s="5"/>
      <c r="R595" s="9"/>
    </row>
    <row r="596">
      <c r="A596" s="44"/>
      <c r="C596" s="5"/>
      <c r="E596" s="19"/>
      <c r="F596" s="5"/>
      <c r="G596" s="28"/>
      <c r="H596" s="19"/>
      <c r="Q596" s="5"/>
      <c r="R596" s="9"/>
    </row>
    <row r="597">
      <c r="A597" s="44"/>
      <c r="C597" s="5"/>
      <c r="E597" s="19"/>
      <c r="F597" s="5"/>
      <c r="G597" s="28"/>
      <c r="H597" s="19"/>
      <c r="Q597" s="5"/>
      <c r="R597" s="9"/>
    </row>
    <row r="598">
      <c r="A598" s="44"/>
      <c r="C598" s="5"/>
      <c r="E598" s="19"/>
      <c r="F598" s="5"/>
      <c r="G598" s="28"/>
      <c r="H598" s="19"/>
      <c r="Q598" s="5"/>
      <c r="R598" s="9"/>
    </row>
    <row r="599">
      <c r="A599" s="44"/>
      <c r="C599" s="5"/>
      <c r="E599" s="19"/>
      <c r="F599" s="5"/>
      <c r="G599" s="28"/>
      <c r="H599" s="19"/>
      <c r="Q599" s="5"/>
      <c r="R599" s="9"/>
    </row>
    <row r="600">
      <c r="A600" s="44"/>
      <c r="C600" s="5"/>
      <c r="E600" s="19"/>
      <c r="F600" s="5"/>
      <c r="G600" s="28"/>
      <c r="H600" s="19"/>
      <c r="Q600" s="5"/>
      <c r="R600" s="9"/>
    </row>
    <row r="601">
      <c r="A601" s="44"/>
      <c r="C601" s="5"/>
      <c r="E601" s="19"/>
      <c r="F601" s="5"/>
      <c r="G601" s="28"/>
      <c r="H601" s="19"/>
      <c r="Q601" s="5"/>
      <c r="R601" s="9"/>
    </row>
    <row r="602">
      <c r="A602" s="44"/>
      <c r="C602" s="5"/>
      <c r="E602" s="19"/>
      <c r="F602" s="5"/>
      <c r="G602" s="28"/>
      <c r="H602" s="19"/>
      <c r="Q602" s="5"/>
      <c r="R602" s="9"/>
    </row>
    <row r="603">
      <c r="A603" s="44"/>
      <c r="C603" s="5"/>
      <c r="E603" s="19"/>
      <c r="F603" s="5"/>
      <c r="G603" s="28"/>
      <c r="H603" s="19"/>
      <c r="Q603" s="5"/>
      <c r="R603" s="9"/>
    </row>
    <row r="604">
      <c r="A604" s="44"/>
      <c r="C604" s="5"/>
      <c r="E604" s="19"/>
      <c r="F604" s="5"/>
      <c r="G604" s="28"/>
      <c r="H604" s="19"/>
      <c r="Q604" s="5"/>
      <c r="R604" s="9"/>
    </row>
    <row r="605">
      <c r="A605" s="44"/>
      <c r="C605" s="5"/>
      <c r="E605" s="19"/>
      <c r="F605" s="5"/>
      <c r="G605" s="28"/>
      <c r="H605" s="19"/>
      <c r="Q605" s="5"/>
      <c r="R605" s="9"/>
    </row>
    <row r="606">
      <c r="A606" s="44"/>
      <c r="C606" s="5"/>
      <c r="E606" s="19"/>
      <c r="F606" s="5"/>
      <c r="G606" s="28"/>
      <c r="H606" s="19"/>
      <c r="Q606" s="5"/>
      <c r="R606" s="9"/>
    </row>
    <row r="607">
      <c r="A607" s="44"/>
      <c r="C607" s="5"/>
      <c r="E607" s="19"/>
      <c r="F607" s="5"/>
      <c r="G607" s="28"/>
      <c r="H607" s="19"/>
      <c r="Q607" s="5"/>
      <c r="R607" s="9"/>
    </row>
    <row r="608">
      <c r="A608" s="44"/>
      <c r="C608" s="5"/>
      <c r="E608" s="19"/>
      <c r="F608" s="5"/>
      <c r="G608" s="28"/>
      <c r="H608" s="19"/>
      <c r="Q608" s="5"/>
      <c r="R608" s="9"/>
    </row>
    <row r="609">
      <c r="A609" s="44"/>
      <c r="C609" s="5"/>
      <c r="E609" s="19"/>
      <c r="F609" s="5"/>
      <c r="G609" s="28"/>
      <c r="H609" s="19"/>
      <c r="Q609" s="5"/>
      <c r="R609" s="9"/>
    </row>
    <row r="610">
      <c r="A610" s="44"/>
      <c r="C610" s="5"/>
      <c r="E610" s="19"/>
      <c r="F610" s="5"/>
      <c r="G610" s="28"/>
      <c r="H610" s="19"/>
      <c r="Q610" s="5"/>
      <c r="R610" s="9"/>
    </row>
    <row r="611">
      <c r="A611" s="44"/>
      <c r="C611" s="5"/>
      <c r="E611" s="19"/>
      <c r="F611" s="5"/>
      <c r="G611" s="28"/>
      <c r="H611" s="19"/>
      <c r="Q611" s="5"/>
      <c r="R611" s="9"/>
    </row>
    <row r="612">
      <c r="A612" s="44"/>
      <c r="C612" s="5"/>
      <c r="E612" s="19"/>
      <c r="F612" s="5"/>
      <c r="G612" s="28"/>
      <c r="H612" s="19"/>
      <c r="Q612" s="5"/>
      <c r="R612" s="9"/>
    </row>
    <row r="613">
      <c r="A613" s="44"/>
      <c r="C613" s="5"/>
      <c r="E613" s="19"/>
      <c r="F613" s="5"/>
      <c r="G613" s="28"/>
      <c r="H613" s="19"/>
      <c r="Q613" s="5"/>
      <c r="R613" s="9"/>
    </row>
    <row r="614">
      <c r="A614" s="44"/>
      <c r="C614" s="5"/>
      <c r="E614" s="19"/>
      <c r="F614" s="5"/>
      <c r="G614" s="28"/>
      <c r="H614" s="19"/>
      <c r="Q614" s="5"/>
      <c r="R614" s="9"/>
    </row>
    <row r="615">
      <c r="A615" s="44"/>
      <c r="C615" s="5"/>
      <c r="E615" s="19"/>
      <c r="F615" s="5"/>
      <c r="G615" s="28"/>
      <c r="H615" s="19"/>
      <c r="Q615" s="5"/>
      <c r="R615" s="9"/>
    </row>
    <row r="616">
      <c r="A616" s="44"/>
      <c r="C616" s="5"/>
      <c r="E616" s="19"/>
      <c r="F616" s="5"/>
      <c r="G616" s="28"/>
      <c r="H616" s="19"/>
      <c r="Q616" s="5"/>
      <c r="R616" s="9"/>
    </row>
    <row r="617">
      <c r="A617" s="44"/>
      <c r="C617" s="5"/>
      <c r="E617" s="19"/>
      <c r="F617" s="5"/>
      <c r="G617" s="28"/>
      <c r="H617" s="19"/>
      <c r="Q617" s="5"/>
      <c r="R617" s="9"/>
    </row>
    <row r="618">
      <c r="A618" s="44"/>
      <c r="C618" s="5"/>
      <c r="E618" s="19"/>
      <c r="F618" s="5"/>
      <c r="G618" s="28"/>
      <c r="H618" s="19"/>
      <c r="Q618" s="5"/>
      <c r="R618" s="9"/>
    </row>
    <row r="619">
      <c r="A619" s="44"/>
      <c r="C619" s="5"/>
      <c r="E619" s="19"/>
      <c r="F619" s="5"/>
      <c r="G619" s="28"/>
      <c r="H619" s="19"/>
      <c r="Q619" s="5"/>
      <c r="R619" s="9"/>
    </row>
    <row r="620">
      <c r="A620" s="44"/>
      <c r="C620" s="5"/>
      <c r="E620" s="19"/>
      <c r="F620" s="5"/>
      <c r="G620" s="28"/>
      <c r="H620" s="19"/>
      <c r="Q620" s="5"/>
      <c r="R620" s="9"/>
    </row>
    <row r="621">
      <c r="A621" s="44"/>
      <c r="C621" s="5"/>
      <c r="E621" s="19"/>
      <c r="F621" s="5"/>
      <c r="G621" s="28"/>
      <c r="H621" s="19"/>
      <c r="Q621" s="5"/>
      <c r="R621" s="9"/>
    </row>
    <row r="622">
      <c r="A622" s="44"/>
      <c r="C622" s="5"/>
      <c r="E622" s="19"/>
      <c r="F622" s="5"/>
      <c r="G622" s="28"/>
      <c r="H622" s="19"/>
      <c r="Q622" s="5"/>
      <c r="R622" s="9"/>
    </row>
    <row r="623">
      <c r="A623" s="44"/>
      <c r="C623" s="5"/>
      <c r="E623" s="19"/>
      <c r="F623" s="5"/>
      <c r="G623" s="28"/>
      <c r="H623" s="19"/>
      <c r="Q623" s="5"/>
      <c r="R623" s="9"/>
    </row>
    <row r="624">
      <c r="A624" s="44"/>
      <c r="C624" s="5"/>
      <c r="E624" s="19"/>
      <c r="F624" s="5"/>
      <c r="G624" s="28"/>
      <c r="H624" s="19"/>
      <c r="Q624" s="5"/>
      <c r="R624" s="9"/>
    </row>
    <row r="625">
      <c r="A625" s="44"/>
      <c r="C625" s="5"/>
      <c r="E625" s="19"/>
      <c r="F625" s="5"/>
      <c r="G625" s="28"/>
      <c r="H625" s="19"/>
      <c r="Q625" s="5"/>
      <c r="R625" s="9"/>
    </row>
    <row r="626">
      <c r="A626" s="44"/>
      <c r="C626" s="5"/>
      <c r="E626" s="19"/>
      <c r="F626" s="5"/>
      <c r="G626" s="28"/>
      <c r="H626" s="19"/>
      <c r="Q626" s="5"/>
      <c r="R626" s="9"/>
    </row>
    <row r="627">
      <c r="A627" s="44"/>
      <c r="C627" s="5"/>
      <c r="E627" s="19"/>
      <c r="F627" s="5"/>
      <c r="G627" s="28"/>
      <c r="H627" s="19"/>
      <c r="Q627" s="5"/>
      <c r="R627" s="9"/>
    </row>
    <row r="628">
      <c r="A628" s="44"/>
      <c r="C628" s="5"/>
      <c r="E628" s="19"/>
      <c r="F628" s="5"/>
      <c r="G628" s="28"/>
      <c r="H628" s="19"/>
      <c r="Q628" s="5"/>
      <c r="R628" s="9"/>
    </row>
    <row r="629">
      <c r="A629" s="44"/>
      <c r="C629" s="5"/>
      <c r="E629" s="19"/>
      <c r="F629" s="5"/>
      <c r="G629" s="28"/>
      <c r="H629" s="19"/>
      <c r="Q629" s="5"/>
      <c r="R629" s="9"/>
    </row>
    <row r="630">
      <c r="A630" s="44"/>
      <c r="C630" s="5"/>
      <c r="E630" s="19"/>
      <c r="F630" s="5"/>
      <c r="G630" s="28"/>
      <c r="H630" s="19"/>
      <c r="Q630" s="5"/>
      <c r="R630" s="9"/>
    </row>
    <row r="631">
      <c r="A631" s="44"/>
      <c r="C631" s="5"/>
      <c r="E631" s="19"/>
      <c r="F631" s="5"/>
      <c r="G631" s="28"/>
      <c r="H631" s="19"/>
      <c r="Q631" s="5"/>
      <c r="R631" s="9"/>
    </row>
    <row r="632">
      <c r="A632" s="44"/>
      <c r="C632" s="5"/>
      <c r="E632" s="19"/>
      <c r="F632" s="5"/>
      <c r="G632" s="28"/>
      <c r="H632" s="19"/>
      <c r="Q632" s="5"/>
      <c r="R632" s="9"/>
    </row>
    <row r="633">
      <c r="A633" s="44"/>
      <c r="C633" s="5"/>
      <c r="E633" s="19"/>
      <c r="F633" s="5"/>
      <c r="G633" s="28"/>
      <c r="H633" s="19"/>
      <c r="Q633" s="5"/>
      <c r="R633" s="9"/>
    </row>
    <row r="634">
      <c r="A634" s="44"/>
      <c r="C634" s="5"/>
      <c r="E634" s="19"/>
      <c r="F634" s="5"/>
      <c r="G634" s="28"/>
      <c r="H634" s="19"/>
      <c r="Q634" s="5"/>
      <c r="R634" s="9"/>
    </row>
    <row r="635">
      <c r="A635" s="44"/>
      <c r="C635" s="5"/>
      <c r="E635" s="19"/>
      <c r="F635" s="5"/>
      <c r="G635" s="28"/>
      <c r="H635" s="19"/>
      <c r="Q635" s="5"/>
      <c r="R635" s="9"/>
    </row>
    <row r="636">
      <c r="A636" s="44"/>
      <c r="C636" s="5"/>
      <c r="E636" s="19"/>
      <c r="F636" s="5"/>
      <c r="G636" s="28"/>
      <c r="H636" s="19"/>
      <c r="Q636" s="5"/>
      <c r="R636" s="9"/>
    </row>
    <row r="637">
      <c r="A637" s="44"/>
      <c r="C637" s="5"/>
      <c r="E637" s="19"/>
      <c r="F637" s="5"/>
      <c r="G637" s="28"/>
      <c r="H637" s="19"/>
      <c r="Q637" s="5"/>
      <c r="R637" s="9"/>
    </row>
    <row r="638">
      <c r="A638" s="44"/>
      <c r="C638" s="5"/>
      <c r="E638" s="19"/>
      <c r="F638" s="5"/>
      <c r="G638" s="28"/>
      <c r="H638" s="19"/>
      <c r="Q638" s="5"/>
      <c r="R638" s="9"/>
    </row>
    <row r="639">
      <c r="A639" s="44"/>
      <c r="C639" s="5"/>
      <c r="E639" s="19"/>
      <c r="F639" s="5"/>
      <c r="G639" s="28"/>
      <c r="H639" s="19"/>
      <c r="Q639" s="5"/>
      <c r="R639" s="9"/>
    </row>
    <row r="640">
      <c r="A640" s="44"/>
      <c r="C640" s="5"/>
      <c r="E640" s="19"/>
      <c r="F640" s="5"/>
      <c r="G640" s="28"/>
      <c r="H640" s="19"/>
      <c r="Q640" s="5"/>
      <c r="R640" s="9"/>
    </row>
    <row r="641">
      <c r="A641" s="44"/>
      <c r="C641" s="5"/>
      <c r="E641" s="19"/>
      <c r="F641" s="5"/>
      <c r="G641" s="28"/>
      <c r="H641" s="19"/>
      <c r="Q641" s="5"/>
      <c r="R641" s="9"/>
    </row>
    <row r="642">
      <c r="A642" s="44"/>
      <c r="C642" s="5"/>
      <c r="E642" s="19"/>
      <c r="F642" s="5"/>
      <c r="G642" s="28"/>
      <c r="H642" s="19"/>
      <c r="Q642" s="5"/>
      <c r="R642" s="9"/>
    </row>
    <row r="643">
      <c r="A643" s="44"/>
      <c r="C643" s="5"/>
      <c r="E643" s="19"/>
      <c r="F643" s="5"/>
      <c r="G643" s="28"/>
      <c r="H643" s="19"/>
      <c r="Q643" s="5"/>
      <c r="R643" s="9"/>
    </row>
    <row r="644">
      <c r="A644" s="44"/>
      <c r="C644" s="5"/>
      <c r="E644" s="19"/>
      <c r="F644" s="5"/>
      <c r="G644" s="28"/>
      <c r="H644" s="19"/>
      <c r="Q644" s="5"/>
      <c r="R644" s="9"/>
    </row>
    <row r="645">
      <c r="A645" s="44"/>
      <c r="C645" s="5"/>
      <c r="E645" s="19"/>
      <c r="F645" s="5"/>
      <c r="G645" s="28"/>
      <c r="H645" s="19"/>
      <c r="Q645" s="5"/>
      <c r="R645" s="9"/>
    </row>
    <row r="646">
      <c r="A646" s="44"/>
      <c r="C646" s="5"/>
      <c r="E646" s="19"/>
      <c r="F646" s="5"/>
      <c r="G646" s="28"/>
      <c r="H646" s="19"/>
      <c r="Q646" s="5"/>
      <c r="R646" s="9"/>
    </row>
    <row r="647">
      <c r="A647" s="44"/>
      <c r="C647" s="5"/>
      <c r="E647" s="19"/>
      <c r="F647" s="5"/>
      <c r="G647" s="28"/>
      <c r="H647" s="19"/>
      <c r="Q647" s="5"/>
      <c r="R647" s="9"/>
    </row>
    <row r="648">
      <c r="A648" s="44"/>
      <c r="C648" s="5"/>
      <c r="E648" s="19"/>
      <c r="F648" s="5"/>
      <c r="G648" s="28"/>
      <c r="H648" s="19"/>
      <c r="Q648" s="5"/>
      <c r="R648" s="9"/>
    </row>
    <row r="649">
      <c r="A649" s="44"/>
      <c r="C649" s="5"/>
      <c r="E649" s="19"/>
      <c r="F649" s="5"/>
      <c r="G649" s="28"/>
      <c r="H649" s="19"/>
      <c r="Q649" s="5"/>
      <c r="R649" s="9"/>
    </row>
    <row r="650">
      <c r="A650" s="44"/>
      <c r="C650" s="5"/>
      <c r="E650" s="19"/>
      <c r="F650" s="5"/>
      <c r="G650" s="28"/>
      <c r="H650" s="19"/>
      <c r="Q650" s="5"/>
      <c r="R650" s="9"/>
    </row>
    <row r="651">
      <c r="A651" s="44"/>
      <c r="C651" s="5"/>
      <c r="E651" s="19"/>
      <c r="F651" s="5"/>
      <c r="G651" s="28"/>
      <c r="H651" s="19"/>
      <c r="Q651" s="5"/>
      <c r="R651" s="9"/>
    </row>
    <row r="652">
      <c r="A652" s="44"/>
      <c r="C652" s="5"/>
      <c r="E652" s="19"/>
      <c r="F652" s="5"/>
      <c r="G652" s="28"/>
      <c r="H652" s="19"/>
      <c r="Q652" s="5"/>
      <c r="R652" s="9"/>
    </row>
    <row r="653">
      <c r="A653" s="44"/>
      <c r="C653" s="5"/>
      <c r="E653" s="19"/>
      <c r="F653" s="5"/>
      <c r="G653" s="28"/>
      <c r="H653" s="19"/>
      <c r="Q653" s="5"/>
      <c r="R653" s="9"/>
    </row>
    <row r="654">
      <c r="A654" s="44"/>
      <c r="C654" s="5"/>
      <c r="E654" s="19"/>
      <c r="F654" s="5"/>
      <c r="G654" s="28"/>
      <c r="H654" s="19"/>
      <c r="Q654" s="5"/>
      <c r="R654" s="9"/>
    </row>
    <row r="655">
      <c r="A655" s="44"/>
      <c r="C655" s="5"/>
      <c r="E655" s="19"/>
      <c r="F655" s="5"/>
      <c r="G655" s="28"/>
      <c r="H655" s="19"/>
      <c r="Q655" s="5"/>
      <c r="R655" s="9"/>
    </row>
    <row r="656">
      <c r="A656" s="44"/>
      <c r="C656" s="5"/>
      <c r="E656" s="19"/>
      <c r="F656" s="5"/>
      <c r="G656" s="28"/>
      <c r="H656" s="19"/>
      <c r="Q656" s="5"/>
      <c r="R656" s="9"/>
    </row>
    <row r="657">
      <c r="A657" s="44"/>
      <c r="C657" s="5"/>
      <c r="E657" s="19"/>
      <c r="F657" s="5"/>
      <c r="G657" s="28"/>
      <c r="H657" s="19"/>
      <c r="Q657" s="5"/>
      <c r="R657" s="9"/>
    </row>
    <row r="658">
      <c r="A658" s="44"/>
      <c r="C658" s="5"/>
      <c r="E658" s="19"/>
      <c r="F658" s="5"/>
      <c r="G658" s="28"/>
      <c r="H658" s="19"/>
      <c r="Q658" s="5"/>
      <c r="R658" s="9"/>
    </row>
    <row r="659">
      <c r="A659" s="44"/>
      <c r="C659" s="5"/>
      <c r="E659" s="19"/>
      <c r="F659" s="5"/>
      <c r="G659" s="28"/>
      <c r="H659" s="19"/>
      <c r="Q659" s="5"/>
      <c r="R659" s="9"/>
    </row>
    <row r="660">
      <c r="A660" s="44"/>
      <c r="C660" s="5"/>
      <c r="E660" s="19"/>
      <c r="F660" s="5"/>
      <c r="G660" s="28"/>
      <c r="H660" s="19"/>
      <c r="Q660" s="5"/>
      <c r="R660" s="9"/>
    </row>
    <row r="661">
      <c r="A661" s="44"/>
      <c r="C661" s="5"/>
      <c r="E661" s="19"/>
      <c r="F661" s="5"/>
      <c r="G661" s="28"/>
      <c r="H661" s="19"/>
      <c r="Q661" s="5"/>
      <c r="R661" s="9"/>
    </row>
    <row r="662">
      <c r="A662" s="44"/>
      <c r="C662" s="5"/>
      <c r="E662" s="19"/>
      <c r="F662" s="5"/>
      <c r="G662" s="28"/>
      <c r="H662" s="19"/>
      <c r="Q662" s="5"/>
      <c r="R662" s="9"/>
    </row>
    <row r="663">
      <c r="A663" s="44"/>
      <c r="C663" s="5"/>
      <c r="E663" s="19"/>
      <c r="F663" s="5"/>
      <c r="G663" s="28"/>
      <c r="H663" s="19"/>
      <c r="Q663" s="5"/>
      <c r="R663" s="9"/>
    </row>
    <row r="664">
      <c r="A664" s="44"/>
      <c r="C664" s="5"/>
      <c r="E664" s="19"/>
      <c r="F664" s="5"/>
      <c r="G664" s="28"/>
      <c r="H664" s="19"/>
      <c r="Q664" s="5"/>
      <c r="R664" s="9"/>
    </row>
    <row r="665">
      <c r="A665" s="44"/>
      <c r="C665" s="5"/>
      <c r="E665" s="19"/>
      <c r="F665" s="5"/>
      <c r="G665" s="28"/>
      <c r="H665" s="19"/>
      <c r="Q665" s="5"/>
      <c r="R665" s="9"/>
    </row>
    <row r="666">
      <c r="A666" s="44"/>
      <c r="C666" s="5"/>
      <c r="E666" s="19"/>
      <c r="F666" s="5"/>
      <c r="G666" s="28"/>
      <c r="H666" s="19"/>
      <c r="Q666" s="5"/>
      <c r="R666" s="9"/>
    </row>
    <row r="667">
      <c r="A667" s="44"/>
      <c r="C667" s="5"/>
      <c r="E667" s="19"/>
      <c r="F667" s="5"/>
      <c r="G667" s="28"/>
      <c r="H667" s="19"/>
      <c r="Q667" s="5"/>
      <c r="R667" s="9"/>
    </row>
    <row r="668">
      <c r="A668" s="44"/>
      <c r="C668" s="5"/>
      <c r="E668" s="19"/>
      <c r="F668" s="5"/>
      <c r="G668" s="28"/>
      <c r="H668" s="19"/>
      <c r="Q668" s="5"/>
      <c r="R668" s="9"/>
    </row>
    <row r="669">
      <c r="A669" s="44"/>
      <c r="C669" s="5"/>
      <c r="E669" s="19"/>
      <c r="F669" s="5"/>
      <c r="G669" s="28"/>
      <c r="H669" s="19"/>
      <c r="Q669" s="5"/>
      <c r="R669" s="9"/>
    </row>
    <row r="670">
      <c r="A670" s="44"/>
      <c r="C670" s="5"/>
      <c r="E670" s="19"/>
      <c r="F670" s="5"/>
      <c r="G670" s="28"/>
      <c r="H670" s="19"/>
      <c r="Q670" s="5"/>
      <c r="R670" s="9"/>
    </row>
    <row r="671">
      <c r="A671" s="44"/>
      <c r="C671" s="5"/>
      <c r="E671" s="19"/>
      <c r="F671" s="5"/>
      <c r="G671" s="28"/>
      <c r="H671" s="19"/>
      <c r="Q671" s="5"/>
      <c r="R671" s="9"/>
    </row>
    <row r="672">
      <c r="A672" s="44"/>
      <c r="C672" s="5"/>
      <c r="E672" s="19"/>
      <c r="F672" s="5"/>
      <c r="G672" s="28"/>
      <c r="H672" s="19"/>
      <c r="Q672" s="5"/>
      <c r="R672" s="9"/>
    </row>
    <row r="673">
      <c r="A673" s="44"/>
      <c r="C673" s="5"/>
      <c r="E673" s="19"/>
      <c r="F673" s="5"/>
      <c r="G673" s="28"/>
      <c r="H673" s="19"/>
      <c r="Q673" s="5"/>
      <c r="R673" s="9"/>
    </row>
    <row r="674">
      <c r="A674" s="44"/>
      <c r="C674" s="5"/>
      <c r="E674" s="19"/>
      <c r="F674" s="5"/>
      <c r="G674" s="28"/>
      <c r="H674" s="19"/>
      <c r="Q674" s="5"/>
      <c r="R674" s="9"/>
    </row>
    <row r="675">
      <c r="A675" s="44"/>
      <c r="C675" s="5"/>
      <c r="E675" s="19"/>
      <c r="F675" s="5"/>
      <c r="G675" s="28"/>
      <c r="H675" s="19"/>
      <c r="Q675" s="5"/>
      <c r="R675" s="9"/>
    </row>
    <row r="676">
      <c r="A676" s="44"/>
      <c r="C676" s="5"/>
      <c r="E676" s="19"/>
      <c r="F676" s="5"/>
      <c r="G676" s="28"/>
      <c r="H676" s="19"/>
      <c r="Q676" s="5"/>
      <c r="R676" s="9"/>
    </row>
    <row r="677">
      <c r="A677" s="44"/>
      <c r="C677" s="5"/>
      <c r="E677" s="19"/>
      <c r="F677" s="5"/>
      <c r="G677" s="28"/>
      <c r="H677" s="19"/>
      <c r="Q677" s="5"/>
      <c r="R677" s="9"/>
    </row>
    <row r="678">
      <c r="A678" s="44"/>
      <c r="C678" s="5"/>
      <c r="E678" s="19"/>
      <c r="F678" s="5"/>
      <c r="G678" s="28"/>
      <c r="H678" s="19"/>
      <c r="Q678" s="5"/>
      <c r="R678" s="9"/>
    </row>
    <row r="679">
      <c r="A679" s="44"/>
      <c r="C679" s="5"/>
      <c r="E679" s="19"/>
      <c r="F679" s="5"/>
      <c r="G679" s="28"/>
      <c r="H679" s="19"/>
      <c r="Q679" s="5"/>
      <c r="R679" s="9"/>
    </row>
    <row r="680">
      <c r="A680" s="44"/>
      <c r="C680" s="5"/>
      <c r="E680" s="19"/>
      <c r="F680" s="5"/>
      <c r="G680" s="28"/>
      <c r="H680" s="19"/>
      <c r="Q680" s="5"/>
      <c r="R680" s="9"/>
    </row>
    <row r="681">
      <c r="A681" s="44"/>
      <c r="C681" s="5"/>
      <c r="E681" s="19"/>
      <c r="F681" s="5"/>
      <c r="G681" s="28"/>
      <c r="H681" s="19"/>
      <c r="Q681" s="5"/>
      <c r="R681" s="9"/>
    </row>
    <row r="682">
      <c r="A682" s="44"/>
      <c r="C682" s="5"/>
      <c r="E682" s="19"/>
      <c r="F682" s="5"/>
      <c r="G682" s="28"/>
      <c r="H682" s="19"/>
      <c r="Q682" s="5"/>
      <c r="R682" s="9"/>
    </row>
    <row r="683">
      <c r="A683" s="44"/>
      <c r="C683" s="5"/>
      <c r="E683" s="19"/>
      <c r="F683" s="5"/>
      <c r="G683" s="28"/>
      <c r="H683" s="19"/>
      <c r="Q683" s="5"/>
      <c r="R683" s="9"/>
    </row>
    <row r="684">
      <c r="A684" s="44"/>
      <c r="C684" s="5"/>
      <c r="E684" s="19"/>
      <c r="F684" s="5"/>
      <c r="G684" s="28"/>
      <c r="H684" s="19"/>
      <c r="Q684" s="5"/>
      <c r="R684" s="9"/>
    </row>
    <row r="685">
      <c r="A685" s="44"/>
      <c r="C685" s="5"/>
      <c r="E685" s="19"/>
      <c r="F685" s="5"/>
      <c r="G685" s="28"/>
      <c r="H685" s="19"/>
      <c r="Q685" s="5"/>
      <c r="R685" s="9"/>
    </row>
    <row r="686">
      <c r="A686" s="44"/>
      <c r="C686" s="5"/>
      <c r="E686" s="19"/>
      <c r="F686" s="5"/>
      <c r="G686" s="28"/>
      <c r="H686" s="19"/>
      <c r="Q686" s="5"/>
      <c r="R686" s="9"/>
    </row>
    <row r="687">
      <c r="A687" s="44"/>
      <c r="C687" s="5"/>
      <c r="E687" s="19"/>
      <c r="F687" s="5"/>
      <c r="G687" s="28"/>
      <c r="H687" s="19"/>
      <c r="Q687" s="5"/>
      <c r="R687" s="9"/>
    </row>
    <row r="688">
      <c r="A688" s="44"/>
      <c r="C688" s="5"/>
      <c r="E688" s="19"/>
      <c r="F688" s="5"/>
      <c r="G688" s="28"/>
      <c r="H688" s="19"/>
      <c r="Q688" s="5"/>
      <c r="R688" s="9"/>
    </row>
    <row r="689">
      <c r="A689" s="44"/>
      <c r="C689" s="5"/>
      <c r="E689" s="19"/>
      <c r="F689" s="5"/>
      <c r="G689" s="28"/>
      <c r="H689" s="19"/>
      <c r="Q689" s="5"/>
      <c r="R689" s="9"/>
    </row>
    <row r="690">
      <c r="A690" s="44"/>
      <c r="C690" s="5"/>
      <c r="E690" s="19"/>
      <c r="F690" s="5"/>
      <c r="G690" s="28"/>
      <c r="H690" s="19"/>
      <c r="Q690" s="5"/>
      <c r="R690" s="9"/>
    </row>
    <row r="691">
      <c r="A691" s="44"/>
      <c r="C691" s="5"/>
      <c r="E691" s="19"/>
      <c r="F691" s="5"/>
      <c r="G691" s="28"/>
      <c r="H691" s="19"/>
      <c r="Q691" s="5"/>
      <c r="R691" s="9"/>
    </row>
    <row r="692">
      <c r="A692" s="44"/>
      <c r="C692" s="5"/>
      <c r="E692" s="19"/>
      <c r="F692" s="5"/>
      <c r="G692" s="28"/>
      <c r="H692" s="19"/>
      <c r="Q692" s="5"/>
      <c r="R692" s="9"/>
    </row>
    <row r="693">
      <c r="A693" s="44"/>
      <c r="C693" s="5"/>
      <c r="E693" s="19"/>
      <c r="F693" s="5"/>
      <c r="G693" s="28"/>
      <c r="H693" s="19"/>
      <c r="Q693" s="5"/>
      <c r="R693" s="9"/>
    </row>
    <row r="694">
      <c r="A694" s="44"/>
      <c r="C694" s="5"/>
      <c r="E694" s="19"/>
      <c r="F694" s="5"/>
      <c r="G694" s="28"/>
      <c r="H694" s="19"/>
      <c r="Q694" s="5"/>
      <c r="R694" s="9"/>
    </row>
    <row r="695">
      <c r="A695" s="44"/>
      <c r="C695" s="5"/>
      <c r="E695" s="19"/>
      <c r="F695" s="5"/>
      <c r="G695" s="28"/>
      <c r="H695" s="19"/>
      <c r="Q695" s="5"/>
      <c r="R695" s="9"/>
    </row>
    <row r="696">
      <c r="A696" s="44"/>
      <c r="C696" s="5"/>
      <c r="E696" s="19"/>
      <c r="F696" s="5"/>
      <c r="G696" s="28"/>
      <c r="H696" s="19"/>
      <c r="Q696" s="5"/>
      <c r="R696" s="9"/>
    </row>
    <row r="697">
      <c r="A697" s="44"/>
      <c r="C697" s="5"/>
      <c r="E697" s="19"/>
      <c r="F697" s="5"/>
      <c r="G697" s="28"/>
      <c r="H697" s="19"/>
      <c r="Q697" s="5"/>
      <c r="R697" s="9"/>
    </row>
    <row r="698">
      <c r="A698" s="44"/>
      <c r="C698" s="5"/>
      <c r="E698" s="19"/>
      <c r="F698" s="5"/>
      <c r="G698" s="28"/>
      <c r="H698" s="19"/>
      <c r="Q698" s="5"/>
      <c r="R698" s="9"/>
    </row>
    <row r="699">
      <c r="A699" s="44"/>
      <c r="C699" s="5"/>
      <c r="E699" s="19"/>
      <c r="F699" s="5"/>
      <c r="G699" s="28"/>
      <c r="H699" s="19"/>
      <c r="Q699" s="5"/>
      <c r="R699" s="9"/>
    </row>
    <row r="700">
      <c r="A700" s="44"/>
      <c r="C700" s="5"/>
      <c r="E700" s="19"/>
      <c r="F700" s="5"/>
      <c r="G700" s="28"/>
      <c r="H700" s="19"/>
      <c r="Q700" s="5"/>
      <c r="R700" s="9"/>
    </row>
    <row r="701">
      <c r="A701" s="44"/>
      <c r="C701" s="5"/>
      <c r="E701" s="19"/>
      <c r="F701" s="5"/>
      <c r="G701" s="28"/>
      <c r="H701" s="19"/>
      <c r="Q701" s="5"/>
      <c r="R701" s="9"/>
    </row>
    <row r="702">
      <c r="A702" s="44"/>
      <c r="C702" s="5"/>
      <c r="E702" s="19"/>
      <c r="F702" s="5"/>
      <c r="G702" s="28"/>
      <c r="H702" s="19"/>
      <c r="Q702" s="5"/>
      <c r="R702" s="9"/>
    </row>
    <row r="703">
      <c r="A703" s="44"/>
      <c r="C703" s="5"/>
      <c r="E703" s="19"/>
      <c r="F703" s="5"/>
      <c r="G703" s="28"/>
      <c r="H703" s="19"/>
      <c r="Q703" s="5"/>
      <c r="R703" s="9"/>
    </row>
    <row r="704">
      <c r="A704" s="44"/>
      <c r="C704" s="5"/>
      <c r="E704" s="19"/>
      <c r="F704" s="5"/>
      <c r="G704" s="28"/>
      <c r="H704" s="19"/>
      <c r="Q704" s="5"/>
      <c r="R704" s="9"/>
    </row>
    <row r="705">
      <c r="A705" s="44"/>
      <c r="C705" s="5"/>
      <c r="E705" s="19"/>
      <c r="F705" s="5"/>
      <c r="G705" s="28"/>
      <c r="H705" s="19"/>
      <c r="Q705" s="5"/>
      <c r="R705" s="9"/>
    </row>
    <row r="706">
      <c r="A706" s="44"/>
      <c r="C706" s="5"/>
      <c r="E706" s="19"/>
      <c r="F706" s="5"/>
      <c r="G706" s="28"/>
      <c r="H706" s="19"/>
      <c r="Q706" s="5"/>
      <c r="R706" s="9"/>
    </row>
    <row r="707">
      <c r="A707" s="44"/>
      <c r="C707" s="5"/>
      <c r="E707" s="19"/>
      <c r="F707" s="5"/>
      <c r="G707" s="28"/>
      <c r="H707" s="19"/>
      <c r="Q707" s="5"/>
      <c r="R707" s="9"/>
    </row>
    <row r="708">
      <c r="A708" s="44"/>
      <c r="C708" s="5"/>
      <c r="E708" s="19"/>
      <c r="F708" s="5"/>
      <c r="G708" s="28"/>
      <c r="H708" s="19"/>
      <c r="Q708" s="5"/>
      <c r="R708" s="9"/>
    </row>
    <row r="709">
      <c r="A709" s="44"/>
      <c r="C709" s="5"/>
      <c r="E709" s="19"/>
      <c r="F709" s="5"/>
      <c r="G709" s="28"/>
      <c r="H709" s="19"/>
      <c r="Q709" s="5"/>
      <c r="R709" s="9"/>
    </row>
    <row r="710">
      <c r="A710" s="44"/>
      <c r="C710" s="5"/>
      <c r="E710" s="19"/>
      <c r="F710" s="5"/>
      <c r="G710" s="28"/>
      <c r="H710" s="19"/>
      <c r="Q710" s="5"/>
      <c r="R710" s="9"/>
    </row>
    <row r="711">
      <c r="A711" s="44"/>
      <c r="C711" s="5"/>
      <c r="E711" s="19"/>
      <c r="F711" s="5"/>
      <c r="G711" s="28"/>
      <c r="H711" s="19"/>
      <c r="Q711" s="5"/>
      <c r="R711" s="9"/>
    </row>
    <row r="712">
      <c r="A712" s="44"/>
      <c r="C712" s="5"/>
      <c r="E712" s="19"/>
      <c r="F712" s="5"/>
      <c r="G712" s="28"/>
      <c r="H712" s="19"/>
      <c r="Q712" s="5"/>
      <c r="R712" s="9"/>
    </row>
    <row r="713">
      <c r="A713" s="44"/>
      <c r="C713" s="5"/>
      <c r="E713" s="19"/>
      <c r="F713" s="5"/>
      <c r="G713" s="28"/>
      <c r="H713" s="19"/>
      <c r="Q713" s="5"/>
      <c r="R713" s="9"/>
    </row>
    <row r="714">
      <c r="A714" s="44"/>
      <c r="C714" s="5"/>
      <c r="E714" s="19"/>
      <c r="F714" s="5"/>
      <c r="G714" s="28"/>
      <c r="H714" s="19"/>
      <c r="Q714" s="5"/>
      <c r="R714" s="9"/>
    </row>
    <row r="715">
      <c r="A715" s="44"/>
      <c r="C715" s="5"/>
      <c r="E715" s="19"/>
      <c r="F715" s="5"/>
      <c r="G715" s="28"/>
      <c r="H715" s="19"/>
      <c r="Q715" s="5"/>
      <c r="R715" s="9"/>
    </row>
    <row r="716">
      <c r="A716" s="44"/>
      <c r="C716" s="5"/>
      <c r="E716" s="19"/>
      <c r="F716" s="5"/>
      <c r="G716" s="28"/>
      <c r="H716" s="19"/>
      <c r="Q716" s="5"/>
      <c r="R716" s="9"/>
    </row>
    <row r="717">
      <c r="A717" s="44"/>
      <c r="C717" s="5"/>
      <c r="E717" s="19"/>
      <c r="F717" s="5"/>
      <c r="G717" s="28"/>
      <c r="H717" s="19"/>
      <c r="Q717" s="5"/>
      <c r="R717" s="9"/>
    </row>
    <row r="718">
      <c r="A718" s="44"/>
      <c r="C718" s="5"/>
      <c r="E718" s="19"/>
      <c r="F718" s="5"/>
      <c r="G718" s="28"/>
      <c r="H718" s="19"/>
      <c r="Q718" s="5"/>
      <c r="R718" s="9"/>
    </row>
    <row r="719">
      <c r="A719" s="44"/>
      <c r="C719" s="5"/>
      <c r="E719" s="19"/>
      <c r="F719" s="5"/>
      <c r="G719" s="28"/>
      <c r="H719" s="19"/>
      <c r="Q719" s="5"/>
      <c r="R719" s="9"/>
    </row>
    <row r="720">
      <c r="A720" s="44"/>
      <c r="C720" s="5"/>
      <c r="E720" s="19"/>
      <c r="F720" s="5"/>
      <c r="G720" s="28"/>
      <c r="H720" s="19"/>
      <c r="Q720" s="5"/>
      <c r="R720" s="9"/>
    </row>
    <row r="721">
      <c r="A721" s="44"/>
      <c r="C721" s="5"/>
      <c r="E721" s="19"/>
      <c r="F721" s="5"/>
      <c r="G721" s="28"/>
      <c r="H721" s="19"/>
      <c r="Q721" s="5"/>
      <c r="R721" s="9"/>
    </row>
    <row r="722">
      <c r="A722" s="44"/>
      <c r="C722" s="5"/>
      <c r="E722" s="19"/>
      <c r="F722" s="5"/>
      <c r="G722" s="28"/>
      <c r="H722" s="19"/>
      <c r="Q722" s="5"/>
      <c r="R722" s="9"/>
    </row>
    <row r="723">
      <c r="A723" s="44"/>
      <c r="C723" s="5"/>
      <c r="E723" s="19"/>
      <c r="F723" s="5"/>
      <c r="G723" s="28"/>
      <c r="H723" s="19"/>
      <c r="Q723" s="5"/>
      <c r="R723" s="9"/>
    </row>
    <row r="724">
      <c r="A724" s="44"/>
      <c r="C724" s="5"/>
      <c r="E724" s="19"/>
      <c r="F724" s="5"/>
      <c r="G724" s="28"/>
      <c r="H724" s="19"/>
      <c r="Q724" s="5"/>
      <c r="R724" s="9"/>
    </row>
    <row r="725">
      <c r="A725" s="44"/>
      <c r="C725" s="5"/>
      <c r="E725" s="19"/>
      <c r="F725" s="5"/>
      <c r="G725" s="28"/>
      <c r="H725" s="19"/>
      <c r="Q725" s="5"/>
      <c r="R725" s="9"/>
    </row>
    <row r="726">
      <c r="A726" s="44"/>
      <c r="C726" s="5"/>
      <c r="E726" s="19"/>
      <c r="F726" s="5"/>
      <c r="G726" s="28"/>
      <c r="H726" s="19"/>
      <c r="Q726" s="5"/>
      <c r="R726" s="9"/>
    </row>
    <row r="727">
      <c r="A727" s="44"/>
      <c r="C727" s="5"/>
      <c r="E727" s="19"/>
      <c r="F727" s="5"/>
      <c r="G727" s="28"/>
      <c r="H727" s="19"/>
      <c r="Q727" s="5"/>
      <c r="R727" s="9"/>
    </row>
    <row r="728">
      <c r="A728" s="44"/>
      <c r="C728" s="5"/>
      <c r="E728" s="19"/>
      <c r="F728" s="5"/>
      <c r="G728" s="28"/>
      <c r="H728" s="19"/>
      <c r="Q728" s="5"/>
      <c r="R728" s="9"/>
    </row>
    <row r="729">
      <c r="A729" s="44"/>
      <c r="C729" s="5"/>
      <c r="E729" s="19"/>
      <c r="F729" s="5"/>
      <c r="G729" s="28"/>
      <c r="H729" s="19"/>
      <c r="Q729" s="5"/>
      <c r="R729" s="9"/>
    </row>
    <row r="730">
      <c r="A730" s="44"/>
      <c r="C730" s="5"/>
      <c r="E730" s="19"/>
      <c r="F730" s="5"/>
      <c r="G730" s="28"/>
      <c r="H730" s="19"/>
      <c r="Q730" s="5"/>
      <c r="R730" s="9"/>
    </row>
    <row r="731">
      <c r="A731" s="44"/>
      <c r="C731" s="5"/>
      <c r="E731" s="19"/>
      <c r="F731" s="5"/>
      <c r="G731" s="28"/>
      <c r="H731" s="19"/>
      <c r="Q731" s="5"/>
      <c r="R731" s="9"/>
    </row>
    <row r="732">
      <c r="A732" s="44"/>
      <c r="C732" s="5"/>
      <c r="E732" s="19"/>
      <c r="F732" s="5"/>
      <c r="G732" s="28"/>
      <c r="H732" s="19"/>
      <c r="Q732" s="5"/>
      <c r="R732" s="9"/>
    </row>
    <row r="733">
      <c r="A733" s="44"/>
      <c r="C733" s="5"/>
      <c r="E733" s="19"/>
      <c r="F733" s="5"/>
      <c r="G733" s="28"/>
      <c r="H733" s="19"/>
      <c r="Q733" s="5"/>
      <c r="R733" s="9"/>
    </row>
    <row r="734">
      <c r="A734" s="44"/>
      <c r="C734" s="5"/>
      <c r="E734" s="19"/>
      <c r="F734" s="5"/>
      <c r="G734" s="28"/>
      <c r="H734" s="19"/>
      <c r="Q734" s="5"/>
      <c r="R734" s="9"/>
    </row>
    <row r="735">
      <c r="A735" s="44"/>
      <c r="C735" s="5"/>
      <c r="E735" s="19"/>
      <c r="F735" s="5"/>
      <c r="G735" s="28"/>
      <c r="H735" s="19"/>
      <c r="Q735" s="5"/>
      <c r="R735" s="9"/>
    </row>
    <row r="736">
      <c r="A736" s="44"/>
      <c r="C736" s="5"/>
      <c r="E736" s="19"/>
      <c r="F736" s="5"/>
      <c r="G736" s="28"/>
      <c r="H736" s="19"/>
      <c r="Q736" s="5"/>
      <c r="R736" s="9"/>
    </row>
    <row r="737">
      <c r="A737" s="44"/>
      <c r="C737" s="5"/>
      <c r="E737" s="19"/>
      <c r="F737" s="5"/>
      <c r="G737" s="28"/>
      <c r="H737" s="19"/>
      <c r="Q737" s="5"/>
      <c r="R737" s="9"/>
    </row>
    <row r="738">
      <c r="A738" s="44"/>
      <c r="C738" s="5"/>
      <c r="E738" s="19"/>
      <c r="F738" s="5"/>
      <c r="G738" s="28"/>
      <c r="H738" s="19"/>
      <c r="Q738" s="5"/>
      <c r="R738" s="9"/>
    </row>
    <row r="739">
      <c r="A739" s="44"/>
      <c r="C739" s="5"/>
      <c r="E739" s="19"/>
      <c r="F739" s="5"/>
      <c r="G739" s="28"/>
      <c r="H739" s="19"/>
      <c r="Q739" s="5"/>
      <c r="R739" s="9"/>
    </row>
    <row r="740">
      <c r="A740" s="44"/>
      <c r="C740" s="5"/>
      <c r="E740" s="19"/>
      <c r="F740" s="5"/>
      <c r="G740" s="28"/>
      <c r="H740" s="19"/>
      <c r="Q740" s="5"/>
      <c r="R740" s="9"/>
    </row>
    <row r="741">
      <c r="A741" s="44"/>
      <c r="C741" s="5"/>
      <c r="E741" s="19"/>
      <c r="F741" s="5"/>
      <c r="G741" s="28"/>
      <c r="H741" s="19"/>
      <c r="Q741" s="5"/>
      <c r="R741" s="9"/>
    </row>
    <row r="742">
      <c r="A742" s="44"/>
      <c r="C742" s="5"/>
      <c r="E742" s="19"/>
      <c r="F742" s="5"/>
      <c r="G742" s="28"/>
      <c r="H742" s="19"/>
      <c r="Q742" s="5"/>
      <c r="R742" s="9"/>
    </row>
    <row r="743">
      <c r="A743" s="44"/>
      <c r="C743" s="5"/>
      <c r="E743" s="19"/>
      <c r="F743" s="5"/>
      <c r="G743" s="28"/>
      <c r="H743" s="19"/>
      <c r="Q743" s="5"/>
      <c r="R743" s="9"/>
    </row>
    <row r="744">
      <c r="A744" s="44"/>
      <c r="C744" s="5"/>
      <c r="E744" s="19"/>
      <c r="F744" s="5"/>
      <c r="G744" s="28"/>
      <c r="H744" s="19"/>
      <c r="Q744" s="5"/>
      <c r="R744" s="9"/>
    </row>
    <row r="745">
      <c r="A745" s="44"/>
      <c r="C745" s="5"/>
      <c r="E745" s="19"/>
      <c r="F745" s="5"/>
      <c r="G745" s="28"/>
      <c r="H745" s="19"/>
      <c r="Q745" s="5"/>
      <c r="R745" s="9"/>
    </row>
    <row r="746">
      <c r="A746" s="44"/>
      <c r="C746" s="5"/>
      <c r="E746" s="19"/>
      <c r="F746" s="5"/>
      <c r="G746" s="28"/>
      <c r="H746" s="19"/>
      <c r="Q746" s="5"/>
      <c r="R746" s="9"/>
    </row>
    <row r="747">
      <c r="A747" s="44"/>
      <c r="C747" s="5"/>
      <c r="E747" s="19"/>
      <c r="F747" s="5"/>
      <c r="G747" s="28"/>
      <c r="H747" s="19"/>
      <c r="Q747" s="5"/>
      <c r="R747" s="9"/>
    </row>
    <row r="748">
      <c r="A748" s="44"/>
      <c r="C748" s="5"/>
      <c r="E748" s="19"/>
      <c r="F748" s="5"/>
      <c r="G748" s="28"/>
      <c r="H748" s="19"/>
      <c r="Q748" s="5"/>
      <c r="R748" s="9"/>
    </row>
    <row r="749">
      <c r="A749" s="44"/>
      <c r="C749" s="5"/>
      <c r="E749" s="19"/>
      <c r="F749" s="5"/>
      <c r="G749" s="28"/>
      <c r="H749" s="19"/>
      <c r="Q749" s="5"/>
      <c r="R749" s="9"/>
    </row>
    <row r="750">
      <c r="A750" s="44"/>
      <c r="C750" s="5"/>
      <c r="E750" s="19"/>
      <c r="F750" s="5"/>
      <c r="G750" s="28"/>
      <c r="H750" s="19"/>
      <c r="Q750" s="5"/>
      <c r="R750" s="9"/>
    </row>
    <row r="751">
      <c r="A751" s="44"/>
      <c r="C751" s="5"/>
      <c r="E751" s="19"/>
      <c r="F751" s="5"/>
      <c r="G751" s="28"/>
      <c r="H751" s="19"/>
      <c r="Q751" s="5"/>
      <c r="R751" s="9"/>
    </row>
    <row r="752">
      <c r="A752" s="44"/>
      <c r="C752" s="5"/>
      <c r="E752" s="19"/>
      <c r="F752" s="5"/>
      <c r="G752" s="28"/>
      <c r="H752" s="19"/>
      <c r="Q752" s="5"/>
      <c r="R752" s="9"/>
    </row>
    <row r="753">
      <c r="A753" s="44"/>
      <c r="C753" s="5"/>
      <c r="E753" s="19"/>
      <c r="F753" s="5"/>
      <c r="G753" s="28"/>
      <c r="H753" s="19"/>
      <c r="Q753" s="5"/>
      <c r="R753" s="9"/>
    </row>
    <row r="754">
      <c r="A754" s="44"/>
      <c r="C754" s="5"/>
      <c r="E754" s="19"/>
      <c r="F754" s="5"/>
      <c r="G754" s="28"/>
      <c r="H754" s="19"/>
      <c r="Q754" s="5"/>
      <c r="R754" s="9"/>
    </row>
    <row r="755">
      <c r="A755" s="44"/>
      <c r="C755" s="5"/>
      <c r="E755" s="19"/>
      <c r="F755" s="5"/>
      <c r="G755" s="28"/>
      <c r="H755" s="19"/>
      <c r="Q755" s="5"/>
      <c r="R755" s="9"/>
    </row>
    <row r="756">
      <c r="A756" s="44"/>
      <c r="C756" s="5"/>
      <c r="E756" s="19"/>
      <c r="F756" s="5"/>
      <c r="G756" s="28"/>
      <c r="H756" s="19"/>
      <c r="Q756" s="5"/>
      <c r="R756" s="9"/>
    </row>
    <row r="757">
      <c r="A757" s="44"/>
      <c r="C757" s="5"/>
      <c r="E757" s="19"/>
      <c r="F757" s="5"/>
      <c r="G757" s="28"/>
      <c r="H757" s="19"/>
      <c r="Q757" s="5"/>
      <c r="R757" s="9"/>
    </row>
    <row r="758">
      <c r="A758" s="44"/>
      <c r="C758" s="5"/>
      <c r="E758" s="19"/>
      <c r="F758" s="5"/>
      <c r="G758" s="28"/>
      <c r="H758" s="19"/>
      <c r="Q758" s="5"/>
      <c r="R758" s="9"/>
    </row>
    <row r="759">
      <c r="A759" s="44"/>
      <c r="C759" s="5"/>
      <c r="E759" s="19"/>
      <c r="F759" s="5"/>
      <c r="G759" s="28"/>
      <c r="H759" s="19"/>
      <c r="Q759" s="5"/>
      <c r="R759" s="9"/>
    </row>
    <row r="760">
      <c r="A760" s="44"/>
      <c r="C760" s="5"/>
      <c r="E760" s="19"/>
      <c r="F760" s="5"/>
      <c r="G760" s="28"/>
      <c r="H760" s="19"/>
      <c r="Q760" s="5"/>
      <c r="R760" s="9"/>
    </row>
    <row r="761">
      <c r="A761" s="44"/>
      <c r="C761" s="5"/>
      <c r="E761" s="19"/>
      <c r="F761" s="5"/>
      <c r="G761" s="28"/>
      <c r="H761" s="19"/>
      <c r="Q761" s="5"/>
      <c r="R761" s="9"/>
    </row>
    <row r="762">
      <c r="A762" s="44"/>
      <c r="C762" s="5"/>
      <c r="E762" s="19"/>
      <c r="F762" s="5"/>
      <c r="G762" s="28"/>
      <c r="H762" s="19"/>
      <c r="Q762" s="5"/>
      <c r="R762" s="9"/>
    </row>
    <row r="763">
      <c r="A763" s="44"/>
      <c r="C763" s="5"/>
      <c r="E763" s="19"/>
      <c r="F763" s="5"/>
      <c r="G763" s="28"/>
      <c r="H763" s="19"/>
      <c r="Q763" s="5"/>
      <c r="R763" s="9"/>
    </row>
    <row r="764">
      <c r="A764" s="44"/>
      <c r="C764" s="5"/>
      <c r="E764" s="19"/>
      <c r="F764" s="5"/>
      <c r="G764" s="28"/>
      <c r="H764" s="19"/>
      <c r="Q764" s="5"/>
      <c r="R764" s="9"/>
    </row>
    <row r="765">
      <c r="A765" s="44"/>
      <c r="C765" s="5"/>
      <c r="E765" s="19"/>
      <c r="F765" s="5"/>
      <c r="G765" s="28"/>
      <c r="H765" s="19"/>
      <c r="Q765" s="5"/>
      <c r="R765" s="9"/>
    </row>
    <row r="766">
      <c r="A766" s="44"/>
      <c r="C766" s="5"/>
      <c r="E766" s="19"/>
      <c r="F766" s="5"/>
      <c r="G766" s="28"/>
      <c r="H766" s="19"/>
      <c r="Q766" s="5"/>
      <c r="R766" s="9"/>
    </row>
    <row r="767">
      <c r="A767" s="44"/>
      <c r="C767" s="5"/>
      <c r="E767" s="19"/>
      <c r="F767" s="5"/>
      <c r="G767" s="28"/>
      <c r="H767" s="19"/>
      <c r="Q767" s="5"/>
      <c r="R767" s="9"/>
    </row>
    <row r="768">
      <c r="A768" s="44"/>
      <c r="C768" s="5"/>
      <c r="E768" s="19"/>
      <c r="F768" s="5"/>
      <c r="G768" s="28"/>
      <c r="H768" s="19"/>
      <c r="Q768" s="5"/>
      <c r="R768" s="9"/>
    </row>
    <row r="769">
      <c r="A769" s="44"/>
      <c r="C769" s="5"/>
      <c r="E769" s="19"/>
      <c r="F769" s="5"/>
      <c r="G769" s="28"/>
      <c r="H769" s="19"/>
      <c r="Q769" s="5"/>
      <c r="R769" s="9"/>
    </row>
    <row r="770">
      <c r="A770" s="44"/>
      <c r="C770" s="5"/>
      <c r="E770" s="19"/>
      <c r="F770" s="5"/>
      <c r="G770" s="28"/>
      <c r="H770" s="19"/>
      <c r="Q770" s="5"/>
      <c r="R770" s="9"/>
    </row>
    <row r="771">
      <c r="A771" s="44"/>
      <c r="C771" s="5"/>
      <c r="E771" s="19"/>
      <c r="F771" s="5"/>
      <c r="G771" s="28"/>
      <c r="H771" s="19"/>
      <c r="Q771" s="5"/>
      <c r="R771" s="9"/>
    </row>
    <row r="772">
      <c r="A772" s="44"/>
      <c r="C772" s="5"/>
      <c r="E772" s="19"/>
      <c r="F772" s="5"/>
      <c r="G772" s="28"/>
      <c r="H772" s="19"/>
      <c r="Q772" s="5"/>
      <c r="R772" s="9"/>
    </row>
    <row r="773">
      <c r="A773" s="44"/>
      <c r="C773" s="5"/>
      <c r="E773" s="19"/>
      <c r="F773" s="5"/>
      <c r="G773" s="28"/>
      <c r="H773" s="19"/>
      <c r="Q773" s="5"/>
      <c r="R773" s="9"/>
    </row>
    <row r="774">
      <c r="A774" s="44"/>
      <c r="C774" s="5"/>
      <c r="E774" s="19"/>
      <c r="F774" s="5"/>
      <c r="G774" s="28"/>
      <c r="H774" s="19"/>
      <c r="Q774" s="5"/>
      <c r="R774" s="9"/>
    </row>
    <row r="775">
      <c r="A775" s="44"/>
      <c r="C775" s="5"/>
      <c r="E775" s="19"/>
      <c r="F775" s="5"/>
      <c r="G775" s="28"/>
      <c r="H775" s="19"/>
      <c r="Q775" s="5"/>
      <c r="R775" s="9"/>
    </row>
    <row r="776">
      <c r="A776" s="44"/>
      <c r="C776" s="5"/>
      <c r="E776" s="19"/>
      <c r="F776" s="5"/>
      <c r="G776" s="28"/>
      <c r="H776" s="19"/>
      <c r="Q776" s="5"/>
      <c r="R776" s="9"/>
    </row>
    <row r="777">
      <c r="A777" s="44"/>
      <c r="C777" s="5"/>
      <c r="E777" s="19"/>
      <c r="F777" s="5"/>
      <c r="G777" s="28"/>
      <c r="H777" s="19"/>
      <c r="Q777" s="5"/>
      <c r="R777" s="9"/>
    </row>
    <row r="778">
      <c r="A778" s="44"/>
      <c r="C778" s="5"/>
      <c r="E778" s="19"/>
      <c r="F778" s="5"/>
      <c r="G778" s="28"/>
      <c r="H778" s="19"/>
      <c r="Q778" s="5"/>
      <c r="R778" s="9"/>
    </row>
    <row r="779">
      <c r="A779" s="44"/>
      <c r="C779" s="5"/>
      <c r="E779" s="19"/>
      <c r="F779" s="5"/>
      <c r="G779" s="28"/>
      <c r="H779" s="19"/>
      <c r="Q779" s="5"/>
      <c r="R779" s="9"/>
    </row>
    <row r="780">
      <c r="A780" s="44"/>
      <c r="C780" s="5"/>
      <c r="E780" s="19"/>
      <c r="F780" s="5"/>
      <c r="G780" s="28"/>
      <c r="H780" s="19"/>
      <c r="Q780" s="5"/>
      <c r="R780" s="9"/>
    </row>
    <row r="781">
      <c r="A781" s="44"/>
      <c r="C781" s="5"/>
      <c r="E781" s="19"/>
      <c r="F781" s="5"/>
      <c r="G781" s="28"/>
      <c r="H781" s="19"/>
      <c r="Q781" s="5"/>
      <c r="R781" s="9"/>
    </row>
    <row r="782">
      <c r="A782" s="44"/>
      <c r="C782" s="5"/>
      <c r="E782" s="19"/>
      <c r="F782" s="5"/>
      <c r="G782" s="28"/>
      <c r="H782" s="19"/>
      <c r="Q782" s="5"/>
      <c r="R782" s="9"/>
    </row>
    <row r="783">
      <c r="A783" s="44"/>
      <c r="C783" s="5"/>
      <c r="E783" s="19"/>
      <c r="F783" s="5"/>
      <c r="G783" s="28"/>
      <c r="H783" s="19"/>
      <c r="Q783" s="5"/>
      <c r="R783" s="9"/>
    </row>
    <row r="784">
      <c r="A784" s="44"/>
      <c r="C784" s="5"/>
      <c r="E784" s="19"/>
      <c r="F784" s="5"/>
      <c r="G784" s="28"/>
      <c r="H784" s="19"/>
      <c r="Q784" s="5"/>
      <c r="R784" s="9"/>
    </row>
    <row r="785">
      <c r="A785" s="44"/>
      <c r="C785" s="5"/>
      <c r="E785" s="19"/>
      <c r="F785" s="5"/>
      <c r="G785" s="28"/>
      <c r="H785" s="19"/>
      <c r="Q785" s="5"/>
      <c r="R785" s="9"/>
    </row>
    <row r="786">
      <c r="A786" s="44"/>
      <c r="C786" s="5"/>
      <c r="E786" s="19"/>
      <c r="F786" s="5"/>
      <c r="G786" s="28"/>
      <c r="H786" s="19"/>
      <c r="Q786" s="5"/>
      <c r="R786" s="9"/>
    </row>
    <row r="787">
      <c r="A787" s="44"/>
      <c r="C787" s="5"/>
      <c r="E787" s="19"/>
      <c r="F787" s="5"/>
      <c r="G787" s="28"/>
      <c r="H787" s="19"/>
      <c r="Q787" s="5"/>
      <c r="R787" s="9"/>
    </row>
    <row r="788">
      <c r="A788" s="44"/>
      <c r="C788" s="5"/>
      <c r="E788" s="19"/>
      <c r="F788" s="5"/>
      <c r="G788" s="28"/>
      <c r="H788" s="19"/>
      <c r="Q788" s="5"/>
      <c r="R788" s="9"/>
    </row>
    <row r="789">
      <c r="A789" s="44"/>
      <c r="C789" s="5"/>
      <c r="E789" s="19"/>
      <c r="F789" s="5"/>
      <c r="G789" s="28"/>
      <c r="H789" s="19"/>
      <c r="Q789" s="5"/>
      <c r="R789" s="9"/>
    </row>
    <row r="790">
      <c r="A790" s="44"/>
      <c r="C790" s="5"/>
      <c r="E790" s="19"/>
      <c r="F790" s="5"/>
      <c r="G790" s="28"/>
      <c r="H790" s="19"/>
      <c r="Q790" s="5"/>
      <c r="R790" s="9"/>
    </row>
    <row r="791">
      <c r="A791" s="44"/>
      <c r="C791" s="5"/>
      <c r="E791" s="19"/>
      <c r="F791" s="5"/>
      <c r="G791" s="28"/>
      <c r="H791" s="19"/>
      <c r="Q791" s="5"/>
      <c r="R791" s="9"/>
    </row>
    <row r="792">
      <c r="A792" s="44"/>
      <c r="C792" s="5"/>
      <c r="E792" s="19"/>
      <c r="F792" s="5"/>
      <c r="G792" s="28"/>
      <c r="H792" s="19"/>
      <c r="Q792" s="5"/>
      <c r="R792" s="9"/>
    </row>
    <row r="793">
      <c r="A793" s="44"/>
      <c r="C793" s="5"/>
      <c r="E793" s="19"/>
      <c r="F793" s="5"/>
      <c r="G793" s="28"/>
      <c r="H793" s="19"/>
      <c r="Q793" s="5"/>
      <c r="R793" s="9"/>
    </row>
    <row r="794">
      <c r="A794" s="44"/>
      <c r="C794" s="5"/>
      <c r="E794" s="19"/>
      <c r="F794" s="5"/>
      <c r="G794" s="28"/>
      <c r="H794" s="19"/>
      <c r="Q794" s="5"/>
      <c r="R794" s="9"/>
    </row>
    <row r="795">
      <c r="A795" s="44"/>
      <c r="C795" s="5"/>
      <c r="E795" s="19"/>
      <c r="F795" s="5"/>
      <c r="G795" s="28"/>
      <c r="H795" s="19"/>
      <c r="Q795" s="5"/>
      <c r="R795" s="9"/>
    </row>
    <row r="796">
      <c r="A796" s="44"/>
      <c r="C796" s="5"/>
      <c r="E796" s="19"/>
      <c r="F796" s="5"/>
      <c r="G796" s="28"/>
      <c r="H796" s="19"/>
      <c r="Q796" s="5"/>
      <c r="R796" s="9"/>
    </row>
    <row r="797">
      <c r="A797" s="44"/>
      <c r="C797" s="5"/>
      <c r="E797" s="19"/>
      <c r="F797" s="5"/>
      <c r="G797" s="28"/>
      <c r="H797" s="19"/>
      <c r="Q797" s="5"/>
      <c r="R797" s="9"/>
    </row>
    <row r="798">
      <c r="A798" s="44"/>
      <c r="C798" s="5"/>
      <c r="E798" s="19"/>
      <c r="F798" s="5"/>
      <c r="G798" s="28"/>
      <c r="H798" s="19"/>
      <c r="Q798" s="5"/>
      <c r="R798" s="9"/>
    </row>
    <row r="799">
      <c r="A799" s="44"/>
      <c r="C799" s="5"/>
      <c r="E799" s="19"/>
      <c r="F799" s="5"/>
      <c r="G799" s="28"/>
      <c r="H799" s="19"/>
      <c r="Q799" s="5"/>
      <c r="R799" s="9"/>
    </row>
    <row r="800">
      <c r="A800" s="44"/>
      <c r="C800" s="5"/>
      <c r="E800" s="19"/>
      <c r="F800" s="5"/>
      <c r="G800" s="28"/>
      <c r="H800" s="19"/>
      <c r="Q800" s="5"/>
      <c r="R800" s="9"/>
    </row>
    <row r="801">
      <c r="A801" s="44"/>
      <c r="C801" s="5"/>
      <c r="E801" s="19"/>
      <c r="F801" s="5"/>
      <c r="G801" s="28"/>
      <c r="H801" s="19"/>
      <c r="Q801" s="5"/>
      <c r="R801" s="9"/>
    </row>
    <row r="802">
      <c r="A802" s="44"/>
      <c r="C802" s="5"/>
      <c r="E802" s="19"/>
      <c r="F802" s="5"/>
      <c r="G802" s="28"/>
      <c r="H802" s="19"/>
      <c r="Q802" s="5"/>
      <c r="R802" s="9"/>
    </row>
    <row r="803">
      <c r="A803" s="44"/>
      <c r="C803" s="5"/>
      <c r="E803" s="19"/>
      <c r="F803" s="5"/>
      <c r="G803" s="28"/>
      <c r="H803" s="19"/>
      <c r="Q803" s="5"/>
      <c r="R803" s="9"/>
    </row>
    <row r="804">
      <c r="A804" s="44"/>
      <c r="C804" s="5"/>
      <c r="E804" s="19"/>
      <c r="F804" s="5"/>
      <c r="G804" s="28"/>
      <c r="H804" s="19"/>
      <c r="Q804" s="5"/>
      <c r="R804" s="9"/>
    </row>
    <row r="805">
      <c r="A805" s="44"/>
      <c r="C805" s="5"/>
      <c r="E805" s="19"/>
      <c r="F805" s="5"/>
      <c r="G805" s="28"/>
      <c r="H805" s="19"/>
      <c r="Q805" s="5"/>
      <c r="R805" s="9"/>
    </row>
    <row r="806">
      <c r="A806" s="44"/>
      <c r="C806" s="5"/>
      <c r="E806" s="19"/>
      <c r="F806" s="5"/>
      <c r="G806" s="28"/>
      <c r="H806" s="19"/>
      <c r="Q806" s="5"/>
      <c r="R806" s="9"/>
    </row>
    <row r="807">
      <c r="A807" s="44"/>
      <c r="C807" s="5"/>
      <c r="E807" s="19"/>
      <c r="F807" s="5"/>
      <c r="G807" s="28"/>
      <c r="H807" s="19"/>
      <c r="Q807" s="5"/>
      <c r="R807" s="9"/>
    </row>
    <row r="808">
      <c r="A808" s="44"/>
      <c r="C808" s="5"/>
      <c r="E808" s="19"/>
      <c r="F808" s="5"/>
      <c r="G808" s="28"/>
      <c r="H808" s="19"/>
      <c r="Q808" s="5"/>
      <c r="R808" s="9"/>
    </row>
    <row r="809">
      <c r="A809" s="44"/>
      <c r="C809" s="5"/>
      <c r="E809" s="19"/>
      <c r="F809" s="5"/>
      <c r="G809" s="28"/>
      <c r="H809" s="19"/>
      <c r="Q809" s="5"/>
      <c r="R809" s="9"/>
    </row>
    <row r="810">
      <c r="A810" s="44"/>
      <c r="C810" s="5"/>
      <c r="E810" s="19"/>
      <c r="F810" s="5"/>
      <c r="G810" s="28"/>
      <c r="H810" s="19"/>
      <c r="Q810" s="5"/>
      <c r="R810" s="9"/>
    </row>
    <row r="811">
      <c r="A811" s="44"/>
      <c r="C811" s="5"/>
      <c r="E811" s="19"/>
      <c r="F811" s="5"/>
      <c r="G811" s="28"/>
      <c r="H811" s="19"/>
      <c r="Q811" s="5"/>
      <c r="R811" s="9"/>
    </row>
    <row r="812">
      <c r="A812" s="44"/>
      <c r="C812" s="5"/>
      <c r="E812" s="19"/>
      <c r="F812" s="5"/>
      <c r="G812" s="28"/>
      <c r="H812" s="19"/>
      <c r="Q812" s="5"/>
      <c r="R812" s="9"/>
    </row>
    <row r="813">
      <c r="A813" s="44"/>
      <c r="C813" s="5"/>
      <c r="E813" s="19"/>
      <c r="F813" s="5"/>
      <c r="G813" s="28"/>
      <c r="H813" s="19"/>
      <c r="Q813" s="5"/>
      <c r="R813" s="9"/>
    </row>
    <row r="814">
      <c r="A814" s="44"/>
      <c r="C814" s="5"/>
      <c r="E814" s="19"/>
      <c r="F814" s="5"/>
      <c r="G814" s="28"/>
      <c r="H814" s="19"/>
      <c r="Q814" s="5"/>
      <c r="R814" s="9"/>
    </row>
    <row r="815">
      <c r="A815" s="44"/>
      <c r="C815" s="5"/>
      <c r="E815" s="19"/>
      <c r="F815" s="5"/>
      <c r="G815" s="28"/>
      <c r="H815" s="19"/>
      <c r="Q815" s="5"/>
      <c r="R815" s="9"/>
    </row>
    <row r="816">
      <c r="A816" s="44"/>
      <c r="C816" s="5"/>
      <c r="E816" s="19"/>
      <c r="F816" s="5"/>
      <c r="G816" s="28"/>
      <c r="H816" s="19"/>
      <c r="Q816" s="5"/>
      <c r="R816" s="9"/>
    </row>
    <row r="817">
      <c r="A817" s="44"/>
      <c r="C817" s="5"/>
      <c r="E817" s="19"/>
      <c r="F817" s="5"/>
      <c r="G817" s="28"/>
      <c r="H817" s="19"/>
      <c r="Q817" s="5"/>
      <c r="R817" s="9"/>
    </row>
    <row r="818">
      <c r="A818" s="44"/>
      <c r="C818" s="5"/>
      <c r="E818" s="19"/>
      <c r="F818" s="5"/>
      <c r="G818" s="28"/>
      <c r="H818" s="19"/>
      <c r="Q818" s="5"/>
      <c r="R818" s="9"/>
    </row>
    <row r="819">
      <c r="A819" s="44"/>
      <c r="C819" s="5"/>
      <c r="E819" s="19"/>
      <c r="F819" s="5"/>
      <c r="G819" s="28"/>
      <c r="H819" s="19"/>
      <c r="Q819" s="5"/>
      <c r="R819" s="9"/>
    </row>
    <row r="820">
      <c r="A820" s="44"/>
      <c r="C820" s="5"/>
      <c r="E820" s="19"/>
      <c r="F820" s="5"/>
      <c r="G820" s="28"/>
      <c r="H820" s="19"/>
      <c r="Q820" s="5"/>
      <c r="R820" s="9"/>
    </row>
    <row r="821">
      <c r="A821" s="44"/>
      <c r="C821" s="5"/>
      <c r="E821" s="19"/>
      <c r="F821" s="5"/>
      <c r="G821" s="28"/>
      <c r="H821" s="19"/>
      <c r="Q821" s="5"/>
      <c r="R821" s="9"/>
    </row>
    <row r="822">
      <c r="A822" s="44"/>
      <c r="C822" s="5"/>
      <c r="E822" s="19"/>
      <c r="F822" s="5"/>
      <c r="G822" s="28"/>
      <c r="H822" s="19"/>
      <c r="Q822" s="5"/>
      <c r="R822" s="9"/>
    </row>
    <row r="823">
      <c r="A823" s="44"/>
      <c r="C823" s="5"/>
      <c r="E823" s="19"/>
      <c r="F823" s="5"/>
      <c r="G823" s="28"/>
      <c r="H823" s="19"/>
      <c r="Q823" s="5"/>
      <c r="R823" s="9"/>
    </row>
    <row r="824">
      <c r="A824" s="44"/>
      <c r="C824" s="5"/>
      <c r="E824" s="19"/>
      <c r="F824" s="5"/>
      <c r="G824" s="28"/>
      <c r="H824" s="19"/>
      <c r="Q824" s="5"/>
      <c r="R824" s="9"/>
    </row>
    <row r="825">
      <c r="A825" s="44"/>
      <c r="C825" s="5"/>
      <c r="E825" s="19"/>
      <c r="F825" s="5"/>
      <c r="G825" s="28"/>
      <c r="H825" s="19"/>
      <c r="Q825" s="5"/>
      <c r="R825" s="9"/>
    </row>
    <row r="826">
      <c r="A826" s="44"/>
      <c r="C826" s="5"/>
      <c r="E826" s="19"/>
      <c r="F826" s="5"/>
      <c r="G826" s="28"/>
      <c r="H826" s="19"/>
      <c r="Q826" s="5"/>
      <c r="R826" s="9"/>
    </row>
    <row r="827">
      <c r="A827" s="44"/>
      <c r="C827" s="5"/>
      <c r="E827" s="19"/>
      <c r="F827" s="5"/>
      <c r="G827" s="28"/>
      <c r="H827" s="19"/>
      <c r="Q827" s="5"/>
      <c r="R827" s="9"/>
    </row>
    <row r="828">
      <c r="A828" s="44"/>
      <c r="C828" s="5"/>
      <c r="E828" s="19"/>
      <c r="F828" s="5"/>
      <c r="G828" s="28"/>
      <c r="H828" s="19"/>
      <c r="Q828" s="5"/>
      <c r="R828" s="9"/>
    </row>
    <row r="829">
      <c r="A829" s="44"/>
      <c r="C829" s="5"/>
      <c r="E829" s="19"/>
      <c r="F829" s="5"/>
      <c r="G829" s="28"/>
      <c r="H829" s="19"/>
      <c r="Q829" s="5"/>
      <c r="R829" s="9"/>
    </row>
    <row r="830">
      <c r="A830" s="44"/>
      <c r="C830" s="5"/>
      <c r="E830" s="19"/>
      <c r="F830" s="5"/>
      <c r="G830" s="28"/>
      <c r="H830" s="19"/>
      <c r="Q830" s="5"/>
      <c r="R830" s="9"/>
    </row>
    <row r="831">
      <c r="A831" s="44"/>
      <c r="C831" s="5"/>
      <c r="E831" s="19"/>
      <c r="F831" s="5"/>
      <c r="G831" s="28"/>
      <c r="H831" s="19"/>
      <c r="Q831" s="5"/>
      <c r="R831" s="9"/>
    </row>
    <row r="832">
      <c r="A832" s="44"/>
      <c r="C832" s="5"/>
      <c r="E832" s="19"/>
      <c r="F832" s="5"/>
      <c r="G832" s="28"/>
      <c r="H832" s="19"/>
      <c r="Q832" s="5"/>
      <c r="R832" s="9"/>
    </row>
    <row r="833">
      <c r="A833" s="44"/>
      <c r="C833" s="5"/>
      <c r="E833" s="19"/>
      <c r="F833" s="5"/>
      <c r="G833" s="28"/>
      <c r="H833" s="19"/>
      <c r="Q833" s="5"/>
      <c r="R833" s="9"/>
    </row>
    <row r="834">
      <c r="A834" s="44"/>
      <c r="C834" s="5"/>
      <c r="E834" s="19"/>
      <c r="F834" s="5"/>
      <c r="G834" s="28"/>
      <c r="H834" s="19"/>
      <c r="Q834" s="5"/>
      <c r="R834" s="9"/>
    </row>
    <row r="835">
      <c r="A835" s="44"/>
      <c r="C835" s="5"/>
      <c r="E835" s="19"/>
      <c r="F835" s="5"/>
      <c r="G835" s="28"/>
      <c r="H835" s="19"/>
      <c r="Q835" s="5"/>
      <c r="R835" s="9"/>
    </row>
    <row r="836">
      <c r="A836" s="44"/>
      <c r="C836" s="5"/>
      <c r="E836" s="19"/>
      <c r="F836" s="5"/>
      <c r="G836" s="28"/>
      <c r="H836" s="19"/>
      <c r="Q836" s="5"/>
      <c r="R836" s="9"/>
    </row>
    <row r="837">
      <c r="A837" s="44"/>
      <c r="C837" s="5"/>
      <c r="E837" s="19"/>
      <c r="F837" s="5"/>
      <c r="G837" s="28"/>
      <c r="H837" s="19"/>
      <c r="Q837" s="5"/>
      <c r="R837" s="9"/>
    </row>
    <row r="838">
      <c r="A838" s="44"/>
      <c r="C838" s="5"/>
      <c r="E838" s="19"/>
      <c r="F838" s="5"/>
      <c r="G838" s="28"/>
      <c r="H838" s="19"/>
      <c r="Q838" s="5"/>
      <c r="R838" s="9"/>
    </row>
    <row r="839">
      <c r="A839" s="44"/>
      <c r="C839" s="5"/>
      <c r="E839" s="19"/>
      <c r="F839" s="5"/>
      <c r="G839" s="28"/>
      <c r="H839" s="19"/>
      <c r="Q839" s="5"/>
      <c r="R839" s="9"/>
    </row>
    <row r="840">
      <c r="A840" s="44"/>
      <c r="C840" s="5"/>
      <c r="E840" s="19"/>
      <c r="F840" s="5"/>
      <c r="G840" s="28"/>
      <c r="H840" s="19"/>
      <c r="Q840" s="5"/>
      <c r="R840" s="9"/>
    </row>
    <row r="841">
      <c r="A841" s="44"/>
      <c r="C841" s="5"/>
      <c r="E841" s="19"/>
      <c r="F841" s="5"/>
      <c r="G841" s="28"/>
      <c r="H841" s="19"/>
      <c r="Q841" s="5"/>
      <c r="R841" s="9"/>
    </row>
    <row r="842">
      <c r="A842" s="44"/>
      <c r="C842" s="5"/>
      <c r="E842" s="19"/>
      <c r="F842" s="5"/>
      <c r="G842" s="28"/>
      <c r="H842" s="19"/>
      <c r="Q842" s="5"/>
      <c r="R842" s="9"/>
    </row>
    <row r="843">
      <c r="A843" s="44"/>
      <c r="C843" s="5"/>
      <c r="E843" s="19"/>
      <c r="F843" s="5"/>
      <c r="G843" s="28"/>
      <c r="H843" s="19"/>
      <c r="Q843" s="5"/>
      <c r="R843" s="9"/>
    </row>
    <row r="844">
      <c r="A844" s="44"/>
      <c r="C844" s="5"/>
      <c r="E844" s="19"/>
      <c r="F844" s="5"/>
      <c r="G844" s="28"/>
      <c r="H844" s="19"/>
      <c r="Q844" s="5"/>
      <c r="R844" s="9"/>
    </row>
    <row r="845">
      <c r="A845" s="44"/>
      <c r="C845" s="5"/>
      <c r="E845" s="19"/>
      <c r="F845" s="5"/>
      <c r="G845" s="28"/>
      <c r="H845" s="19"/>
      <c r="Q845" s="5"/>
      <c r="R845" s="9"/>
    </row>
    <row r="846">
      <c r="A846" s="44"/>
      <c r="C846" s="5"/>
      <c r="E846" s="19"/>
      <c r="F846" s="5"/>
      <c r="G846" s="28"/>
      <c r="H846" s="19"/>
      <c r="Q846" s="5"/>
      <c r="R846" s="9"/>
    </row>
    <row r="847">
      <c r="A847" s="44"/>
      <c r="C847" s="5"/>
      <c r="E847" s="19"/>
      <c r="F847" s="5"/>
      <c r="G847" s="28"/>
      <c r="H847" s="19"/>
      <c r="Q847" s="5"/>
      <c r="R847" s="9"/>
    </row>
    <row r="848">
      <c r="A848" s="44"/>
      <c r="C848" s="5"/>
      <c r="E848" s="19"/>
      <c r="F848" s="5"/>
      <c r="G848" s="28"/>
      <c r="H848" s="19"/>
      <c r="Q848" s="5"/>
      <c r="R848" s="9"/>
    </row>
    <row r="849">
      <c r="A849" s="44"/>
      <c r="C849" s="5"/>
      <c r="E849" s="19"/>
      <c r="F849" s="5"/>
      <c r="G849" s="28"/>
      <c r="H849" s="19"/>
      <c r="Q849" s="5"/>
      <c r="R849" s="9"/>
    </row>
    <row r="850">
      <c r="A850" s="44"/>
      <c r="C850" s="5"/>
      <c r="E850" s="19"/>
      <c r="F850" s="5"/>
      <c r="G850" s="28"/>
      <c r="H850" s="19"/>
      <c r="Q850" s="5"/>
      <c r="R850" s="9"/>
    </row>
    <row r="851">
      <c r="A851" s="44"/>
      <c r="C851" s="5"/>
      <c r="E851" s="19"/>
      <c r="F851" s="5"/>
      <c r="G851" s="28"/>
      <c r="H851" s="19"/>
      <c r="Q851" s="5"/>
      <c r="R851" s="9"/>
    </row>
    <row r="852">
      <c r="A852" s="44"/>
      <c r="C852" s="5"/>
      <c r="E852" s="19"/>
      <c r="F852" s="5"/>
      <c r="G852" s="28"/>
      <c r="H852" s="19"/>
      <c r="Q852" s="5"/>
      <c r="R852" s="9"/>
    </row>
    <row r="853">
      <c r="A853" s="44"/>
      <c r="C853" s="5"/>
      <c r="E853" s="19"/>
      <c r="F853" s="5"/>
      <c r="G853" s="28"/>
      <c r="H853" s="19"/>
      <c r="Q853" s="5"/>
      <c r="R853" s="9"/>
    </row>
    <row r="854">
      <c r="A854" s="44"/>
      <c r="C854" s="5"/>
      <c r="E854" s="19"/>
      <c r="F854" s="5"/>
      <c r="G854" s="28"/>
      <c r="H854" s="19"/>
      <c r="Q854" s="5"/>
      <c r="R854" s="9"/>
    </row>
    <row r="855">
      <c r="A855" s="44"/>
      <c r="C855" s="5"/>
      <c r="E855" s="19"/>
      <c r="F855" s="5"/>
      <c r="G855" s="28"/>
      <c r="H855" s="19"/>
      <c r="Q855" s="5"/>
      <c r="R855" s="9"/>
    </row>
    <row r="856">
      <c r="A856" s="44"/>
      <c r="C856" s="5"/>
      <c r="E856" s="19"/>
      <c r="F856" s="5"/>
      <c r="G856" s="28"/>
      <c r="H856" s="19"/>
      <c r="Q856" s="5"/>
      <c r="R856" s="9"/>
    </row>
    <row r="857">
      <c r="A857" s="44"/>
      <c r="C857" s="5"/>
      <c r="E857" s="19"/>
      <c r="F857" s="5"/>
      <c r="G857" s="28"/>
      <c r="H857" s="19"/>
      <c r="Q857" s="5"/>
      <c r="R857" s="9"/>
    </row>
    <row r="858">
      <c r="A858" s="44"/>
      <c r="C858" s="5"/>
      <c r="E858" s="19"/>
      <c r="F858" s="5"/>
      <c r="G858" s="28"/>
      <c r="H858" s="19"/>
      <c r="Q858" s="5"/>
      <c r="R858" s="9"/>
    </row>
    <row r="859">
      <c r="A859" s="44"/>
      <c r="C859" s="5"/>
      <c r="E859" s="19"/>
      <c r="F859" s="5"/>
      <c r="G859" s="28"/>
      <c r="H859" s="19"/>
      <c r="Q859" s="5"/>
      <c r="R859" s="9"/>
    </row>
    <row r="860">
      <c r="A860" s="44"/>
      <c r="C860" s="5"/>
      <c r="E860" s="19"/>
      <c r="F860" s="5"/>
      <c r="G860" s="28"/>
      <c r="H860" s="19"/>
      <c r="Q860" s="5"/>
      <c r="R860" s="9"/>
    </row>
    <row r="861">
      <c r="A861" s="44"/>
      <c r="C861" s="5"/>
      <c r="E861" s="19"/>
      <c r="F861" s="5"/>
      <c r="G861" s="28"/>
      <c r="H861" s="19"/>
      <c r="Q861" s="5"/>
      <c r="R861" s="9"/>
    </row>
    <row r="862">
      <c r="A862" s="44"/>
      <c r="C862" s="5"/>
      <c r="E862" s="19"/>
      <c r="F862" s="5"/>
      <c r="G862" s="28"/>
      <c r="H862" s="19"/>
      <c r="Q862" s="5"/>
      <c r="R862" s="9"/>
    </row>
    <row r="863">
      <c r="A863" s="44"/>
      <c r="C863" s="5"/>
      <c r="E863" s="19"/>
      <c r="F863" s="5"/>
      <c r="G863" s="28"/>
      <c r="H863" s="19"/>
      <c r="Q863" s="5"/>
      <c r="R863" s="9"/>
    </row>
    <row r="864">
      <c r="A864" s="44"/>
      <c r="C864" s="5"/>
      <c r="E864" s="19"/>
      <c r="F864" s="5"/>
      <c r="G864" s="28"/>
      <c r="H864" s="19"/>
      <c r="Q864" s="5"/>
      <c r="R864" s="9"/>
    </row>
    <row r="865">
      <c r="A865" s="44"/>
      <c r="C865" s="5"/>
      <c r="E865" s="19"/>
      <c r="F865" s="5"/>
      <c r="G865" s="28"/>
      <c r="H865" s="19"/>
      <c r="Q865" s="5"/>
      <c r="R865" s="9"/>
    </row>
    <row r="866">
      <c r="A866" s="44"/>
      <c r="C866" s="5"/>
      <c r="E866" s="19"/>
      <c r="F866" s="5"/>
      <c r="G866" s="28"/>
      <c r="H866" s="19"/>
      <c r="Q866" s="5"/>
      <c r="R866" s="9"/>
    </row>
    <row r="867">
      <c r="A867" s="44"/>
      <c r="C867" s="5"/>
      <c r="E867" s="19"/>
      <c r="F867" s="5"/>
      <c r="G867" s="28"/>
      <c r="H867" s="19"/>
      <c r="Q867" s="5"/>
      <c r="R867" s="9"/>
    </row>
    <row r="868">
      <c r="A868" s="44"/>
      <c r="C868" s="5"/>
      <c r="E868" s="19"/>
      <c r="F868" s="5"/>
      <c r="G868" s="28"/>
      <c r="H868" s="19"/>
      <c r="Q868" s="5"/>
      <c r="R868" s="9"/>
    </row>
    <row r="869">
      <c r="A869" s="44"/>
      <c r="C869" s="5"/>
      <c r="E869" s="19"/>
      <c r="F869" s="5"/>
      <c r="G869" s="28"/>
      <c r="H869" s="19"/>
      <c r="Q869" s="5"/>
      <c r="R869" s="9"/>
    </row>
    <row r="870">
      <c r="A870" s="44"/>
      <c r="C870" s="5"/>
      <c r="E870" s="19"/>
      <c r="F870" s="5"/>
      <c r="G870" s="28"/>
      <c r="H870" s="19"/>
      <c r="Q870" s="5"/>
      <c r="R870" s="9"/>
    </row>
    <row r="871">
      <c r="A871" s="44"/>
      <c r="C871" s="5"/>
      <c r="E871" s="19"/>
      <c r="F871" s="5"/>
      <c r="G871" s="28"/>
      <c r="H871" s="19"/>
      <c r="Q871" s="5"/>
      <c r="R871" s="9"/>
    </row>
    <row r="872">
      <c r="A872" s="44"/>
      <c r="C872" s="5"/>
      <c r="E872" s="19"/>
      <c r="F872" s="5"/>
      <c r="G872" s="28"/>
      <c r="H872" s="19"/>
      <c r="Q872" s="5"/>
      <c r="R872" s="9"/>
    </row>
    <row r="873">
      <c r="A873" s="44"/>
      <c r="C873" s="5"/>
      <c r="E873" s="19"/>
      <c r="F873" s="5"/>
      <c r="G873" s="28"/>
      <c r="H873" s="19"/>
      <c r="Q873" s="5"/>
      <c r="R873" s="9"/>
    </row>
    <row r="874">
      <c r="A874" s="44"/>
      <c r="C874" s="5"/>
      <c r="E874" s="19"/>
      <c r="F874" s="5"/>
      <c r="G874" s="28"/>
      <c r="H874" s="19"/>
      <c r="Q874" s="5"/>
      <c r="R874" s="9"/>
    </row>
    <row r="875">
      <c r="A875" s="44"/>
      <c r="C875" s="5"/>
      <c r="E875" s="19"/>
      <c r="F875" s="5"/>
      <c r="G875" s="28"/>
      <c r="H875" s="19"/>
      <c r="Q875" s="5"/>
      <c r="R875" s="9"/>
    </row>
    <row r="876">
      <c r="A876" s="44"/>
      <c r="C876" s="5"/>
      <c r="E876" s="19"/>
      <c r="F876" s="5"/>
      <c r="G876" s="28"/>
      <c r="H876" s="19"/>
      <c r="Q876" s="5"/>
      <c r="R876" s="9"/>
    </row>
    <row r="877">
      <c r="A877" s="44"/>
      <c r="C877" s="5"/>
      <c r="E877" s="19"/>
      <c r="F877" s="5"/>
      <c r="G877" s="28"/>
      <c r="H877" s="19"/>
      <c r="Q877" s="5"/>
      <c r="R877" s="9"/>
    </row>
    <row r="878">
      <c r="A878" s="44"/>
      <c r="C878" s="5"/>
      <c r="E878" s="19"/>
      <c r="F878" s="5"/>
      <c r="G878" s="28"/>
      <c r="H878" s="19"/>
      <c r="Q878" s="5"/>
      <c r="R878" s="9"/>
    </row>
    <row r="879">
      <c r="A879" s="44"/>
      <c r="C879" s="5"/>
      <c r="E879" s="19"/>
      <c r="F879" s="5"/>
      <c r="G879" s="28"/>
      <c r="H879" s="19"/>
      <c r="Q879" s="5"/>
      <c r="R879" s="9"/>
    </row>
    <row r="880">
      <c r="A880" s="44"/>
      <c r="C880" s="5"/>
      <c r="E880" s="19"/>
      <c r="F880" s="5"/>
      <c r="G880" s="28"/>
      <c r="H880" s="19"/>
      <c r="Q880" s="5"/>
      <c r="R880" s="9"/>
    </row>
    <row r="881">
      <c r="A881" s="44"/>
      <c r="C881" s="5"/>
      <c r="E881" s="19"/>
      <c r="F881" s="5"/>
      <c r="G881" s="28"/>
      <c r="H881" s="19"/>
      <c r="Q881" s="5"/>
      <c r="R881" s="9"/>
    </row>
    <row r="882">
      <c r="A882" s="44"/>
      <c r="C882" s="5"/>
      <c r="E882" s="19"/>
      <c r="F882" s="5"/>
      <c r="G882" s="28"/>
      <c r="H882" s="19"/>
      <c r="Q882" s="5"/>
      <c r="R882" s="9"/>
    </row>
    <row r="883">
      <c r="A883" s="44"/>
      <c r="C883" s="5"/>
      <c r="E883" s="19"/>
      <c r="F883" s="5"/>
      <c r="G883" s="28"/>
      <c r="H883" s="19"/>
      <c r="Q883" s="5"/>
      <c r="R883" s="9"/>
    </row>
    <row r="884">
      <c r="A884" s="44"/>
      <c r="C884" s="5"/>
      <c r="E884" s="19"/>
      <c r="F884" s="5"/>
      <c r="G884" s="28"/>
      <c r="H884" s="19"/>
      <c r="Q884" s="5"/>
      <c r="R884" s="9"/>
    </row>
    <row r="885">
      <c r="A885" s="44"/>
      <c r="C885" s="5"/>
      <c r="E885" s="19"/>
      <c r="F885" s="5"/>
      <c r="G885" s="28"/>
      <c r="H885" s="19"/>
      <c r="Q885" s="5"/>
      <c r="R885" s="9"/>
    </row>
    <row r="886">
      <c r="A886" s="44"/>
      <c r="C886" s="5"/>
      <c r="E886" s="19"/>
      <c r="F886" s="5"/>
      <c r="G886" s="28"/>
      <c r="H886" s="19"/>
      <c r="Q886" s="5"/>
      <c r="R886" s="9"/>
    </row>
    <row r="887">
      <c r="A887" s="44"/>
      <c r="C887" s="5"/>
      <c r="E887" s="19"/>
      <c r="F887" s="5"/>
      <c r="G887" s="28"/>
      <c r="H887" s="19"/>
      <c r="Q887" s="5"/>
      <c r="R887" s="9"/>
    </row>
    <row r="888">
      <c r="A888" s="44"/>
      <c r="C888" s="5"/>
      <c r="E888" s="19"/>
      <c r="F888" s="5"/>
      <c r="G888" s="28"/>
      <c r="H888" s="19"/>
      <c r="Q888" s="5"/>
      <c r="R888" s="9"/>
    </row>
    <row r="889">
      <c r="A889" s="44"/>
      <c r="C889" s="5"/>
      <c r="E889" s="19"/>
      <c r="F889" s="5"/>
      <c r="G889" s="28"/>
      <c r="H889" s="19"/>
      <c r="Q889" s="5"/>
      <c r="R889" s="9"/>
    </row>
    <row r="890">
      <c r="A890" s="44"/>
      <c r="C890" s="5"/>
      <c r="E890" s="19"/>
      <c r="F890" s="5"/>
      <c r="G890" s="28"/>
      <c r="H890" s="19"/>
      <c r="Q890" s="5"/>
      <c r="R890" s="9"/>
    </row>
    <row r="891">
      <c r="A891" s="44"/>
      <c r="C891" s="5"/>
      <c r="E891" s="19"/>
      <c r="F891" s="5"/>
      <c r="G891" s="28"/>
      <c r="H891" s="19"/>
      <c r="Q891" s="5"/>
      <c r="R891" s="9"/>
    </row>
    <row r="892">
      <c r="A892" s="44"/>
      <c r="C892" s="5"/>
      <c r="E892" s="19"/>
      <c r="F892" s="5"/>
      <c r="G892" s="28"/>
      <c r="H892" s="19"/>
      <c r="Q892" s="5"/>
      <c r="R892" s="9"/>
    </row>
    <row r="893">
      <c r="A893" s="44"/>
      <c r="C893" s="5"/>
      <c r="E893" s="19"/>
      <c r="F893" s="5"/>
      <c r="G893" s="28"/>
      <c r="H893" s="19"/>
      <c r="Q893" s="5"/>
      <c r="R893" s="9"/>
    </row>
    <row r="894">
      <c r="A894" s="44"/>
      <c r="C894" s="5"/>
      <c r="E894" s="19"/>
      <c r="F894" s="5"/>
      <c r="G894" s="28"/>
      <c r="H894" s="19"/>
      <c r="Q894" s="5"/>
      <c r="R894" s="9"/>
    </row>
    <row r="895">
      <c r="A895" s="44"/>
      <c r="C895" s="5"/>
      <c r="E895" s="19"/>
      <c r="F895" s="5"/>
      <c r="G895" s="28"/>
      <c r="H895" s="19"/>
      <c r="Q895" s="5"/>
      <c r="R895" s="9"/>
    </row>
    <row r="896">
      <c r="A896" s="44"/>
      <c r="C896" s="5"/>
      <c r="E896" s="19"/>
      <c r="F896" s="5"/>
      <c r="G896" s="28"/>
      <c r="H896" s="19"/>
      <c r="Q896" s="5"/>
      <c r="R896" s="9"/>
    </row>
    <row r="897">
      <c r="A897" s="44"/>
      <c r="C897" s="5"/>
      <c r="E897" s="19"/>
      <c r="F897" s="5"/>
      <c r="G897" s="28"/>
      <c r="H897" s="19"/>
      <c r="Q897" s="5"/>
      <c r="R897" s="9"/>
    </row>
    <row r="898">
      <c r="A898" s="44"/>
      <c r="C898" s="5"/>
      <c r="E898" s="19"/>
      <c r="F898" s="5"/>
      <c r="G898" s="28"/>
      <c r="H898" s="19"/>
      <c r="Q898" s="5"/>
      <c r="R898" s="9"/>
    </row>
    <row r="899">
      <c r="A899" s="44"/>
      <c r="C899" s="5"/>
      <c r="E899" s="19"/>
      <c r="F899" s="5"/>
      <c r="G899" s="28"/>
      <c r="H899" s="19"/>
      <c r="Q899" s="5"/>
      <c r="R899" s="9"/>
    </row>
    <row r="900">
      <c r="A900" s="44"/>
      <c r="C900" s="5"/>
      <c r="E900" s="19"/>
      <c r="F900" s="5"/>
      <c r="G900" s="28"/>
      <c r="H900" s="19"/>
      <c r="Q900" s="5"/>
      <c r="R900" s="9"/>
    </row>
    <row r="901">
      <c r="A901" s="44"/>
      <c r="C901" s="5"/>
      <c r="E901" s="19"/>
      <c r="F901" s="5"/>
      <c r="G901" s="28"/>
      <c r="H901" s="19"/>
      <c r="Q901" s="5"/>
      <c r="R901" s="9"/>
    </row>
    <row r="902">
      <c r="A902" s="44"/>
      <c r="C902" s="5"/>
      <c r="E902" s="19"/>
      <c r="F902" s="5"/>
      <c r="G902" s="28"/>
      <c r="H902" s="19"/>
      <c r="Q902" s="5"/>
      <c r="R902" s="9"/>
    </row>
    <row r="903">
      <c r="A903" s="44"/>
      <c r="C903" s="5"/>
      <c r="E903" s="19"/>
      <c r="F903" s="5"/>
      <c r="G903" s="28"/>
      <c r="H903" s="19"/>
      <c r="Q903" s="5"/>
      <c r="R903" s="9"/>
    </row>
    <row r="904">
      <c r="A904" s="44"/>
      <c r="C904" s="5"/>
      <c r="E904" s="19"/>
      <c r="F904" s="5"/>
      <c r="G904" s="28"/>
      <c r="H904" s="19"/>
      <c r="Q904" s="5"/>
      <c r="R904" s="9"/>
    </row>
    <row r="905">
      <c r="A905" s="44"/>
      <c r="C905" s="5"/>
      <c r="E905" s="19"/>
      <c r="F905" s="5"/>
      <c r="G905" s="28"/>
      <c r="H905" s="19"/>
      <c r="Q905" s="5"/>
      <c r="R905" s="9"/>
    </row>
    <row r="906">
      <c r="A906" s="44"/>
      <c r="C906" s="5"/>
      <c r="E906" s="19"/>
      <c r="F906" s="5"/>
      <c r="G906" s="28"/>
      <c r="H906" s="19"/>
      <c r="Q906" s="5"/>
      <c r="R906" s="9"/>
    </row>
    <row r="907">
      <c r="A907" s="44"/>
      <c r="C907" s="5"/>
      <c r="E907" s="19"/>
      <c r="F907" s="5"/>
      <c r="G907" s="28"/>
      <c r="H907" s="19"/>
      <c r="Q907" s="5"/>
      <c r="R907" s="9"/>
    </row>
    <row r="908">
      <c r="A908" s="44"/>
      <c r="C908" s="5"/>
      <c r="E908" s="19"/>
      <c r="F908" s="5"/>
      <c r="G908" s="28"/>
      <c r="H908" s="19"/>
      <c r="Q908" s="5"/>
      <c r="R908" s="9"/>
    </row>
    <row r="909">
      <c r="A909" s="44"/>
      <c r="C909" s="5"/>
      <c r="E909" s="19"/>
      <c r="F909" s="5"/>
      <c r="G909" s="28"/>
      <c r="H909" s="19"/>
      <c r="Q909" s="5"/>
      <c r="R909" s="9"/>
    </row>
    <row r="910">
      <c r="A910" s="44"/>
      <c r="C910" s="5"/>
      <c r="E910" s="19"/>
      <c r="F910" s="5"/>
      <c r="G910" s="28"/>
      <c r="H910" s="19"/>
      <c r="Q910" s="5"/>
      <c r="R910" s="9"/>
    </row>
    <row r="911">
      <c r="A911" s="44"/>
      <c r="C911" s="5"/>
      <c r="E911" s="19"/>
      <c r="F911" s="5"/>
      <c r="G911" s="28"/>
      <c r="H911" s="19"/>
      <c r="Q911" s="5"/>
      <c r="R911" s="9"/>
    </row>
    <row r="912">
      <c r="A912" s="44"/>
      <c r="C912" s="5"/>
      <c r="E912" s="19"/>
      <c r="F912" s="5"/>
      <c r="G912" s="28"/>
      <c r="H912" s="19"/>
      <c r="Q912" s="5"/>
      <c r="R912" s="9"/>
    </row>
    <row r="913">
      <c r="A913" s="44"/>
      <c r="C913" s="5"/>
      <c r="E913" s="19"/>
      <c r="F913" s="5"/>
      <c r="G913" s="28"/>
      <c r="H913" s="19"/>
      <c r="Q913" s="5"/>
      <c r="R913" s="9"/>
    </row>
    <row r="914">
      <c r="A914" s="44"/>
      <c r="C914" s="5"/>
      <c r="E914" s="19"/>
      <c r="F914" s="5"/>
      <c r="G914" s="28"/>
      <c r="H914" s="19"/>
      <c r="Q914" s="5"/>
      <c r="R914" s="9"/>
    </row>
    <row r="915">
      <c r="A915" s="44"/>
      <c r="C915" s="5"/>
      <c r="E915" s="19"/>
      <c r="F915" s="5"/>
      <c r="G915" s="28"/>
      <c r="H915" s="19"/>
      <c r="Q915" s="5"/>
      <c r="R915" s="9"/>
    </row>
    <row r="916">
      <c r="A916" s="44"/>
      <c r="C916" s="5"/>
      <c r="E916" s="19"/>
      <c r="F916" s="5"/>
      <c r="G916" s="28"/>
      <c r="H916" s="19"/>
      <c r="Q916" s="5"/>
      <c r="R916" s="9"/>
    </row>
    <row r="917">
      <c r="A917" s="44"/>
      <c r="C917" s="5"/>
      <c r="E917" s="19"/>
      <c r="F917" s="5"/>
      <c r="G917" s="28"/>
      <c r="H917" s="19"/>
      <c r="Q917" s="5"/>
      <c r="R917" s="9"/>
    </row>
    <row r="918">
      <c r="A918" s="44"/>
      <c r="C918" s="5"/>
      <c r="E918" s="19"/>
      <c r="F918" s="5"/>
      <c r="G918" s="28"/>
      <c r="H918" s="19"/>
      <c r="Q918" s="5"/>
      <c r="R918" s="9"/>
    </row>
    <row r="919">
      <c r="A919" s="44"/>
      <c r="C919" s="5"/>
      <c r="E919" s="19"/>
      <c r="F919" s="5"/>
      <c r="G919" s="28"/>
      <c r="H919" s="19"/>
      <c r="Q919" s="5"/>
      <c r="R919" s="9"/>
    </row>
    <row r="920">
      <c r="A920" s="44"/>
      <c r="C920" s="5"/>
      <c r="E920" s="19"/>
      <c r="F920" s="5"/>
      <c r="G920" s="28"/>
      <c r="H920" s="19"/>
      <c r="Q920" s="5"/>
      <c r="R920" s="9"/>
    </row>
    <row r="921">
      <c r="A921" s="44"/>
      <c r="C921" s="5"/>
      <c r="E921" s="19"/>
      <c r="F921" s="5"/>
      <c r="G921" s="28"/>
      <c r="H921" s="19"/>
      <c r="Q921" s="5"/>
      <c r="R921" s="9"/>
    </row>
    <row r="922">
      <c r="A922" s="44"/>
      <c r="C922" s="5"/>
      <c r="E922" s="19"/>
      <c r="F922" s="5"/>
      <c r="G922" s="28"/>
      <c r="H922" s="19"/>
      <c r="Q922" s="5"/>
      <c r="R922" s="9"/>
    </row>
    <row r="923">
      <c r="A923" s="44"/>
      <c r="C923" s="5"/>
      <c r="E923" s="19"/>
      <c r="F923" s="5"/>
      <c r="G923" s="28"/>
      <c r="H923" s="19"/>
      <c r="Q923" s="5"/>
      <c r="R923" s="9"/>
    </row>
    <row r="924">
      <c r="A924" s="44"/>
      <c r="C924" s="5"/>
      <c r="E924" s="19"/>
      <c r="F924" s="5"/>
      <c r="G924" s="28"/>
      <c r="H924" s="19"/>
      <c r="Q924" s="5"/>
      <c r="R924" s="9"/>
    </row>
    <row r="925">
      <c r="A925" s="44"/>
      <c r="C925" s="5"/>
      <c r="E925" s="19"/>
      <c r="F925" s="5"/>
      <c r="G925" s="28"/>
      <c r="H925" s="19"/>
      <c r="Q925" s="5"/>
      <c r="R925" s="9"/>
    </row>
    <row r="926">
      <c r="A926" s="44"/>
      <c r="C926" s="5"/>
      <c r="E926" s="19"/>
      <c r="F926" s="5"/>
      <c r="G926" s="28"/>
      <c r="H926" s="19"/>
      <c r="Q926" s="5"/>
      <c r="R926" s="9"/>
    </row>
    <row r="927">
      <c r="A927" s="44"/>
      <c r="C927" s="5"/>
      <c r="E927" s="19"/>
      <c r="F927" s="5"/>
      <c r="G927" s="28"/>
      <c r="H927" s="19"/>
      <c r="Q927" s="5"/>
      <c r="R927" s="9"/>
    </row>
    <row r="928">
      <c r="A928" s="44"/>
      <c r="C928" s="5"/>
      <c r="E928" s="19"/>
      <c r="F928" s="5"/>
      <c r="G928" s="28"/>
      <c r="H928" s="19"/>
      <c r="Q928" s="5"/>
      <c r="R928" s="9"/>
    </row>
    <row r="929">
      <c r="A929" s="44"/>
      <c r="C929" s="5"/>
      <c r="E929" s="19"/>
      <c r="F929" s="5"/>
      <c r="G929" s="28"/>
      <c r="H929" s="19"/>
      <c r="Q929" s="5"/>
      <c r="R929" s="9"/>
    </row>
    <row r="930">
      <c r="A930" s="44"/>
      <c r="C930" s="5"/>
      <c r="E930" s="19"/>
      <c r="F930" s="5"/>
      <c r="G930" s="28"/>
      <c r="H930" s="19"/>
      <c r="Q930" s="5"/>
      <c r="R930" s="9"/>
    </row>
    <row r="931">
      <c r="A931" s="44"/>
      <c r="C931" s="5"/>
      <c r="E931" s="19"/>
      <c r="F931" s="5"/>
      <c r="G931" s="28"/>
      <c r="H931" s="19"/>
      <c r="Q931" s="5"/>
      <c r="R931" s="9"/>
    </row>
    <row r="932">
      <c r="A932" s="44"/>
      <c r="C932" s="5"/>
      <c r="E932" s="19"/>
      <c r="F932" s="5"/>
      <c r="G932" s="28"/>
      <c r="H932" s="19"/>
      <c r="Q932" s="5"/>
      <c r="R932" s="9"/>
    </row>
    <row r="933">
      <c r="A933" s="44"/>
      <c r="C933" s="5"/>
      <c r="E933" s="19"/>
      <c r="F933" s="5"/>
      <c r="G933" s="28"/>
      <c r="H933" s="19"/>
      <c r="Q933" s="5"/>
      <c r="R933" s="9"/>
    </row>
    <row r="934">
      <c r="A934" s="44"/>
      <c r="C934" s="5"/>
      <c r="E934" s="19"/>
      <c r="F934" s="5"/>
      <c r="G934" s="28"/>
      <c r="H934" s="19"/>
      <c r="Q934" s="5"/>
      <c r="R934" s="9"/>
    </row>
    <row r="935">
      <c r="A935" s="44"/>
      <c r="C935" s="5"/>
      <c r="E935" s="19"/>
      <c r="F935" s="5"/>
      <c r="G935" s="28"/>
      <c r="H935" s="19"/>
      <c r="Q935" s="5"/>
      <c r="R935" s="9"/>
    </row>
    <row r="936">
      <c r="A936" s="44"/>
      <c r="C936" s="5"/>
      <c r="E936" s="19"/>
      <c r="F936" s="5"/>
      <c r="G936" s="28"/>
      <c r="H936" s="19"/>
      <c r="Q936" s="5"/>
      <c r="R936" s="9"/>
    </row>
    <row r="937">
      <c r="A937" s="44"/>
      <c r="C937" s="5"/>
      <c r="E937" s="19"/>
      <c r="F937" s="5"/>
      <c r="G937" s="28"/>
      <c r="H937" s="19"/>
      <c r="Q937" s="5"/>
      <c r="R937" s="9"/>
    </row>
    <row r="938">
      <c r="A938" s="44"/>
      <c r="C938" s="5"/>
      <c r="E938" s="19"/>
      <c r="F938" s="5"/>
      <c r="G938" s="28"/>
      <c r="H938" s="19"/>
      <c r="Q938" s="5"/>
      <c r="R938" s="9"/>
    </row>
    <row r="939">
      <c r="A939" s="44"/>
      <c r="C939" s="5"/>
      <c r="E939" s="19"/>
      <c r="F939" s="5"/>
      <c r="G939" s="28"/>
      <c r="H939" s="19"/>
      <c r="Q939" s="5"/>
      <c r="R939" s="9"/>
    </row>
    <row r="940">
      <c r="A940" s="44"/>
      <c r="C940" s="5"/>
      <c r="E940" s="19"/>
      <c r="F940" s="5"/>
      <c r="G940" s="28"/>
      <c r="H940" s="19"/>
      <c r="Q940" s="5"/>
      <c r="R940" s="9"/>
    </row>
    <row r="941">
      <c r="A941" s="44"/>
      <c r="C941" s="5"/>
      <c r="E941" s="19"/>
      <c r="F941" s="5"/>
      <c r="G941" s="28"/>
      <c r="H941" s="19"/>
      <c r="Q941" s="5"/>
      <c r="R941" s="9"/>
    </row>
    <row r="942">
      <c r="A942" s="44"/>
      <c r="C942" s="5"/>
      <c r="E942" s="19"/>
      <c r="F942" s="5"/>
      <c r="G942" s="28"/>
      <c r="H942" s="19"/>
      <c r="Q942" s="5"/>
      <c r="R942" s="9"/>
    </row>
    <row r="943">
      <c r="A943" s="44"/>
      <c r="C943" s="5"/>
      <c r="E943" s="19"/>
      <c r="F943" s="5"/>
      <c r="G943" s="28"/>
      <c r="H943" s="19"/>
      <c r="Q943" s="5"/>
      <c r="R943" s="9"/>
    </row>
    <row r="944">
      <c r="A944" s="44"/>
      <c r="C944" s="5"/>
      <c r="E944" s="19"/>
      <c r="F944" s="5"/>
      <c r="G944" s="28"/>
      <c r="H944" s="19"/>
      <c r="Q944" s="5"/>
      <c r="R944" s="9"/>
    </row>
    <row r="945">
      <c r="A945" s="44"/>
      <c r="C945" s="5"/>
      <c r="E945" s="19"/>
      <c r="F945" s="5"/>
      <c r="G945" s="28"/>
      <c r="H945" s="19"/>
      <c r="Q945" s="5"/>
      <c r="R945" s="9"/>
    </row>
    <row r="946">
      <c r="A946" s="44"/>
      <c r="C946" s="5"/>
      <c r="E946" s="19"/>
      <c r="F946" s="5"/>
      <c r="G946" s="28"/>
      <c r="H946" s="19"/>
      <c r="Q946" s="5"/>
      <c r="R946" s="9"/>
    </row>
    <row r="947">
      <c r="A947" s="44"/>
      <c r="C947" s="5"/>
      <c r="E947" s="19"/>
      <c r="F947" s="5"/>
      <c r="G947" s="28"/>
      <c r="H947" s="19"/>
      <c r="Q947" s="5"/>
      <c r="R947" s="9"/>
    </row>
    <row r="948">
      <c r="A948" s="44"/>
      <c r="C948" s="5"/>
      <c r="E948" s="19"/>
      <c r="F948" s="5"/>
      <c r="G948" s="28"/>
      <c r="H948" s="19"/>
      <c r="Q948" s="5"/>
      <c r="R948" s="9"/>
    </row>
    <row r="949">
      <c r="A949" s="44"/>
      <c r="C949" s="5"/>
      <c r="E949" s="19"/>
      <c r="F949" s="5"/>
      <c r="G949" s="28"/>
      <c r="H949" s="19"/>
      <c r="Q949" s="5"/>
      <c r="R949" s="9"/>
    </row>
    <row r="950">
      <c r="A950" s="44"/>
      <c r="C950" s="5"/>
      <c r="E950" s="19"/>
      <c r="F950" s="5"/>
      <c r="G950" s="28"/>
      <c r="H950" s="19"/>
      <c r="Q950" s="5"/>
      <c r="R950" s="9"/>
    </row>
    <row r="951">
      <c r="A951" s="44"/>
      <c r="C951" s="5"/>
      <c r="E951" s="19"/>
      <c r="F951" s="5"/>
      <c r="G951" s="28"/>
      <c r="H951" s="19"/>
      <c r="Q951" s="5"/>
      <c r="R951" s="9"/>
    </row>
    <row r="952">
      <c r="A952" s="44"/>
      <c r="C952" s="5"/>
      <c r="E952" s="19"/>
      <c r="F952" s="5"/>
      <c r="G952" s="28"/>
      <c r="H952" s="19"/>
      <c r="Q952" s="5"/>
      <c r="R952" s="9"/>
    </row>
    <row r="953">
      <c r="A953" s="44"/>
      <c r="C953" s="5"/>
      <c r="E953" s="19"/>
      <c r="F953" s="5"/>
      <c r="G953" s="28"/>
      <c r="H953" s="19"/>
      <c r="Q953" s="5"/>
      <c r="R953" s="9"/>
    </row>
    <row r="954">
      <c r="A954" s="44"/>
      <c r="C954" s="5"/>
      <c r="E954" s="19"/>
      <c r="F954" s="5"/>
      <c r="G954" s="28"/>
      <c r="H954" s="19"/>
      <c r="Q954" s="5"/>
      <c r="R954" s="9"/>
    </row>
    <row r="955">
      <c r="A955" s="44"/>
      <c r="C955" s="5"/>
      <c r="E955" s="19"/>
      <c r="F955" s="5"/>
      <c r="G955" s="28"/>
      <c r="H955" s="19"/>
      <c r="Q955" s="5"/>
      <c r="R955" s="9"/>
    </row>
    <row r="956">
      <c r="A956" s="44"/>
      <c r="C956" s="5"/>
      <c r="E956" s="19"/>
      <c r="F956" s="5"/>
      <c r="G956" s="28"/>
      <c r="H956" s="19"/>
      <c r="Q956" s="5"/>
      <c r="R956" s="9"/>
    </row>
    <row r="957">
      <c r="A957" s="44"/>
      <c r="C957" s="5"/>
      <c r="E957" s="19"/>
      <c r="F957" s="5"/>
      <c r="G957" s="28"/>
      <c r="H957" s="19"/>
      <c r="Q957" s="5"/>
      <c r="R957" s="9"/>
    </row>
    <row r="958">
      <c r="A958" s="44"/>
      <c r="C958" s="5"/>
      <c r="E958" s="19"/>
      <c r="F958" s="5"/>
      <c r="G958" s="28"/>
      <c r="H958" s="19"/>
      <c r="Q958" s="5"/>
      <c r="R958" s="9"/>
    </row>
    <row r="959">
      <c r="A959" s="44"/>
      <c r="C959" s="5"/>
      <c r="E959" s="19"/>
      <c r="F959" s="5"/>
      <c r="G959" s="28"/>
      <c r="H959" s="19"/>
      <c r="Q959" s="5"/>
      <c r="R959" s="9"/>
    </row>
    <row r="960">
      <c r="A960" s="44"/>
      <c r="C960" s="5"/>
      <c r="E960" s="19"/>
      <c r="F960" s="5"/>
      <c r="G960" s="28"/>
      <c r="H960" s="19"/>
      <c r="Q960" s="5"/>
      <c r="R960" s="9"/>
    </row>
    <row r="961">
      <c r="A961" s="44"/>
      <c r="C961" s="5"/>
      <c r="E961" s="19"/>
      <c r="F961" s="5"/>
      <c r="G961" s="28"/>
      <c r="H961" s="19"/>
      <c r="Q961" s="5"/>
      <c r="R961" s="9"/>
    </row>
    <row r="962">
      <c r="A962" s="44"/>
      <c r="C962" s="5"/>
      <c r="E962" s="19"/>
      <c r="F962" s="5"/>
      <c r="G962" s="28"/>
      <c r="H962" s="19"/>
      <c r="Q962" s="5"/>
      <c r="R962" s="9"/>
    </row>
    <row r="963">
      <c r="A963" s="44"/>
      <c r="C963" s="5"/>
      <c r="E963" s="19"/>
      <c r="F963" s="5"/>
      <c r="G963" s="28"/>
      <c r="H963" s="19"/>
      <c r="Q963" s="5"/>
      <c r="R963" s="9"/>
    </row>
    <row r="964">
      <c r="A964" s="44"/>
      <c r="C964" s="5"/>
      <c r="E964" s="19"/>
      <c r="F964" s="5"/>
      <c r="G964" s="28"/>
      <c r="H964" s="19"/>
      <c r="Q964" s="5"/>
      <c r="R964" s="9"/>
    </row>
    <row r="965">
      <c r="A965" s="44"/>
      <c r="C965" s="5"/>
      <c r="E965" s="19"/>
      <c r="F965" s="5"/>
      <c r="G965" s="28"/>
      <c r="H965" s="19"/>
      <c r="Q965" s="5"/>
      <c r="R965" s="9"/>
    </row>
    <row r="966">
      <c r="A966" s="44"/>
      <c r="C966" s="5"/>
      <c r="E966" s="19"/>
      <c r="F966" s="5"/>
      <c r="G966" s="28"/>
      <c r="H966" s="19"/>
      <c r="Q966" s="5"/>
      <c r="R966" s="9"/>
    </row>
    <row r="967">
      <c r="A967" s="44"/>
      <c r="C967" s="5"/>
      <c r="E967" s="19"/>
      <c r="F967" s="5"/>
      <c r="G967" s="28"/>
      <c r="H967" s="19"/>
      <c r="Q967" s="5"/>
      <c r="R967" s="9"/>
    </row>
    <row r="968">
      <c r="A968" s="44"/>
      <c r="C968" s="5"/>
      <c r="E968" s="19"/>
      <c r="F968" s="5"/>
      <c r="G968" s="28"/>
      <c r="H968" s="19"/>
      <c r="Q968" s="5"/>
      <c r="R968" s="9"/>
    </row>
    <row r="969">
      <c r="A969" s="44"/>
      <c r="C969" s="5"/>
      <c r="E969" s="19"/>
      <c r="F969" s="5"/>
      <c r="G969" s="28"/>
      <c r="H969" s="19"/>
      <c r="Q969" s="5"/>
      <c r="R969" s="9"/>
    </row>
    <row r="970">
      <c r="A970" s="44"/>
      <c r="C970" s="5"/>
      <c r="E970" s="19"/>
      <c r="F970" s="5"/>
      <c r="G970" s="28"/>
      <c r="H970" s="19"/>
      <c r="Q970" s="5"/>
      <c r="R970" s="9"/>
    </row>
    <row r="971">
      <c r="A971" s="44"/>
      <c r="C971" s="5"/>
      <c r="E971" s="19"/>
      <c r="F971" s="5"/>
      <c r="G971" s="28"/>
      <c r="H971" s="19"/>
      <c r="Q971" s="5"/>
      <c r="R971" s="9"/>
    </row>
    <row r="972">
      <c r="A972" s="44"/>
      <c r="C972" s="5"/>
      <c r="E972" s="19"/>
      <c r="F972" s="5"/>
      <c r="G972" s="28"/>
      <c r="H972" s="19"/>
      <c r="Q972" s="5"/>
      <c r="R972" s="9"/>
    </row>
    <row r="973">
      <c r="A973" s="44"/>
      <c r="C973" s="5"/>
      <c r="E973" s="19"/>
      <c r="F973" s="5"/>
      <c r="G973" s="28"/>
      <c r="H973" s="19"/>
      <c r="Q973" s="5"/>
      <c r="R973" s="9"/>
    </row>
    <row r="974">
      <c r="A974" s="44"/>
      <c r="C974" s="5"/>
      <c r="E974" s="19"/>
      <c r="F974" s="5"/>
      <c r="G974" s="28"/>
      <c r="H974" s="19"/>
      <c r="Q974" s="5"/>
      <c r="R974" s="9"/>
    </row>
    <row r="975">
      <c r="A975" s="44"/>
      <c r="C975" s="5"/>
      <c r="E975" s="19"/>
      <c r="F975" s="5"/>
      <c r="G975" s="28"/>
      <c r="H975" s="19"/>
      <c r="Q975" s="5"/>
      <c r="R975" s="9"/>
    </row>
    <row r="976">
      <c r="A976" s="44"/>
      <c r="C976" s="5"/>
      <c r="E976" s="19"/>
      <c r="F976" s="5"/>
      <c r="G976" s="28"/>
      <c r="H976" s="19"/>
      <c r="Q976" s="5"/>
      <c r="R976" s="9"/>
    </row>
    <row r="977">
      <c r="A977" s="44"/>
      <c r="C977" s="5"/>
      <c r="E977" s="19"/>
      <c r="F977" s="5"/>
      <c r="G977" s="28"/>
      <c r="H977" s="19"/>
      <c r="Q977" s="5"/>
      <c r="R977" s="9"/>
    </row>
    <row r="978">
      <c r="A978" s="44"/>
      <c r="C978" s="5"/>
      <c r="E978" s="19"/>
      <c r="F978" s="5"/>
      <c r="G978" s="28"/>
      <c r="H978" s="19"/>
      <c r="Q978" s="5"/>
      <c r="R978" s="9"/>
    </row>
    <row r="979">
      <c r="A979" s="44"/>
      <c r="C979" s="5"/>
      <c r="E979" s="19"/>
      <c r="F979" s="5"/>
      <c r="G979" s="28"/>
      <c r="H979" s="19"/>
      <c r="Q979" s="5"/>
      <c r="R979" s="9"/>
    </row>
    <row r="980">
      <c r="A980" s="44"/>
      <c r="C980" s="5"/>
      <c r="E980" s="19"/>
      <c r="F980" s="5"/>
      <c r="G980" s="28"/>
      <c r="H980" s="19"/>
      <c r="Q980" s="5"/>
      <c r="R980" s="9"/>
    </row>
    <row r="981">
      <c r="A981" s="44"/>
      <c r="C981" s="5"/>
      <c r="E981" s="19"/>
      <c r="F981" s="5"/>
      <c r="G981" s="28"/>
      <c r="H981" s="19"/>
      <c r="Q981" s="5"/>
      <c r="R981" s="9"/>
    </row>
    <row r="982">
      <c r="A982" s="44"/>
      <c r="C982" s="5"/>
      <c r="E982" s="19"/>
      <c r="F982" s="5"/>
      <c r="G982" s="28"/>
      <c r="H982" s="19"/>
      <c r="Q982" s="5"/>
      <c r="R982" s="9"/>
    </row>
    <row r="983">
      <c r="A983" s="44"/>
      <c r="C983" s="5"/>
      <c r="E983" s="19"/>
      <c r="F983" s="5"/>
      <c r="G983" s="28"/>
      <c r="H983" s="19"/>
      <c r="Q983" s="5"/>
      <c r="R983" s="9"/>
    </row>
    <row r="984">
      <c r="A984" s="44"/>
      <c r="C984" s="5"/>
      <c r="E984" s="19"/>
      <c r="F984" s="5"/>
      <c r="G984" s="28"/>
      <c r="H984" s="19"/>
      <c r="Q984" s="5"/>
      <c r="R984" s="9"/>
    </row>
    <row r="985">
      <c r="A985" s="44"/>
      <c r="C985" s="5"/>
      <c r="E985" s="19"/>
      <c r="F985" s="5"/>
      <c r="G985" s="28"/>
      <c r="H985" s="19"/>
      <c r="Q985" s="5"/>
      <c r="R985" s="9"/>
    </row>
    <row r="986">
      <c r="A986" s="44"/>
      <c r="C986" s="5"/>
      <c r="E986" s="19"/>
      <c r="F986" s="5"/>
      <c r="G986" s="28"/>
      <c r="H986" s="19"/>
      <c r="Q986" s="5"/>
      <c r="R986" s="9"/>
    </row>
    <row r="987">
      <c r="A987" s="44"/>
      <c r="C987" s="5"/>
      <c r="E987" s="19"/>
      <c r="F987" s="5"/>
      <c r="G987" s="28"/>
      <c r="H987" s="19"/>
      <c r="Q987" s="5"/>
      <c r="R987" s="9"/>
    </row>
    <row r="988">
      <c r="A988" s="44"/>
      <c r="C988" s="5"/>
      <c r="E988" s="19"/>
      <c r="F988" s="5"/>
      <c r="G988" s="28"/>
      <c r="H988" s="19"/>
      <c r="Q988" s="5"/>
      <c r="R988" s="9"/>
    </row>
    <row r="989">
      <c r="A989" s="44"/>
      <c r="C989" s="5"/>
      <c r="E989" s="19"/>
      <c r="F989" s="5"/>
      <c r="G989" s="28"/>
      <c r="H989" s="19"/>
      <c r="Q989" s="5"/>
      <c r="R989" s="9"/>
    </row>
    <row r="990">
      <c r="A990" s="44"/>
      <c r="C990" s="5"/>
      <c r="E990" s="19"/>
      <c r="F990" s="5"/>
      <c r="G990" s="28"/>
      <c r="H990" s="19"/>
      <c r="Q990" s="5"/>
      <c r="R990" s="9"/>
    </row>
    <row r="991">
      <c r="A991" s="44"/>
      <c r="C991" s="5"/>
      <c r="E991" s="19"/>
      <c r="F991" s="5"/>
      <c r="G991" s="28"/>
      <c r="H991" s="19"/>
      <c r="Q991" s="5"/>
      <c r="R991" s="9"/>
    </row>
    <row r="992">
      <c r="A992" s="44"/>
      <c r="C992" s="5"/>
      <c r="E992" s="19"/>
      <c r="F992" s="5"/>
      <c r="G992" s="28"/>
      <c r="H992" s="19"/>
      <c r="Q992" s="5"/>
      <c r="R992" s="9"/>
    </row>
    <row r="993">
      <c r="A993" s="44"/>
      <c r="C993" s="5"/>
      <c r="E993" s="19"/>
      <c r="F993" s="5"/>
      <c r="G993" s="28"/>
      <c r="H993" s="19"/>
      <c r="Q993" s="5"/>
      <c r="R993" s="9"/>
    </row>
    <row r="994">
      <c r="A994" s="44"/>
      <c r="C994" s="5"/>
      <c r="E994" s="19"/>
      <c r="F994" s="5"/>
      <c r="G994" s="28"/>
      <c r="H994" s="19"/>
      <c r="Q994" s="5"/>
      <c r="R994" s="9"/>
    </row>
    <row r="995">
      <c r="A995" s="44"/>
      <c r="C995" s="5"/>
      <c r="E995" s="19"/>
      <c r="F995" s="5"/>
      <c r="G995" s="28"/>
      <c r="H995" s="19"/>
      <c r="Q995" s="5"/>
      <c r="R995" s="9"/>
    </row>
    <row r="996">
      <c r="A996" s="44"/>
      <c r="C996" s="5"/>
      <c r="E996" s="19"/>
      <c r="F996" s="5"/>
      <c r="G996" s="28"/>
      <c r="H996" s="19"/>
      <c r="Q996" s="5"/>
      <c r="R996" s="9"/>
    </row>
    <row r="997">
      <c r="A997" s="44"/>
      <c r="C997" s="5"/>
      <c r="E997" s="19"/>
      <c r="F997" s="5"/>
      <c r="G997" s="28"/>
      <c r="H997" s="19"/>
      <c r="Q997" s="5"/>
      <c r="R997" s="9"/>
    </row>
    <row r="998">
      <c r="A998" s="44"/>
      <c r="C998" s="5"/>
      <c r="E998" s="19"/>
      <c r="F998" s="5"/>
      <c r="G998" s="28"/>
      <c r="H998" s="19"/>
      <c r="Q998" s="5"/>
      <c r="R998" s="9"/>
    </row>
    <row r="999">
      <c r="A999" s="39"/>
      <c r="C999" s="5"/>
      <c r="E999" s="19"/>
      <c r="F999" s="5"/>
      <c r="G999" s="28"/>
      <c r="H999" s="19"/>
      <c r="Q999" s="5"/>
      <c r="R999" s="9"/>
    </row>
  </sheetData>
  <conditionalFormatting sqref="B1:B999">
    <cfRule type="expression" dxfId="2" priority="1">
      <formula>SUMPRODUCT(--ISNUMBER(SEARCH($E$1:$E$14, B1))) &gt; 0</formula>
    </cfRule>
  </conditionalFormatting>
  <conditionalFormatting sqref="B1:B999">
    <cfRule type="expression" dxfId="2" priority="2">
      <formula>COUNTIF($H$2:$H$3, B1) &gt; 0</formula>
    </cfRule>
  </conditionalFormatting>
  <conditionalFormatting sqref="V2">
    <cfRule type="cellIs" dxfId="2" priority="3" operator="greaterThan">
      <formula>0</formula>
    </cfRule>
  </conditionalFormatting>
  <conditionalFormatting sqref="V2">
    <cfRule type="cellIs" dxfId="3" priority="4" operator="lessThan">
      <formula>0</formula>
    </cfRule>
  </conditionalFormatting>
  <conditionalFormatting sqref="N1 N33">
    <cfRule type="timePeriod" dxfId="4" priority="5" timePeriod="today"/>
  </conditionalFormatting>
  <conditionalFormatting sqref="N1 N33:N999">
    <cfRule type="timePeriod" dxfId="5" priority="6" timePeriod="today"/>
  </conditionalFormatting>
  <conditionalFormatting sqref="O1:O999 Q1:Q999">
    <cfRule type="cellIs" dxfId="0" priority="7" operator="lessThan">
      <formula>25</formula>
    </cfRule>
  </conditionalFormatting>
  <conditionalFormatting sqref="O1:O999 Q1:Q999">
    <cfRule type="cellIs" dxfId="6" priority="8" operator="lessThan">
      <formula>35</formula>
    </cfRule>
  </conditionalFormatting>
  <conditionalFormatting sqref="O1:O999 Q1:Q999">
    <cfRule type="cellIs" dxfId="1" priority="9" operator="greaterThanOrEqual">
      <formula>35</formula>
    </cfRule>
  </conditionalFormatting>
  <conditionalFormatting sqref="I1">
    <cfRule type="cellIs" dxfId="1" priority="10" operator="lessThan">
      <formula>0</formula>
    </cfRule>
  </conditionalFormatting>
  <conditionalFormatting sqref="I1">
    <cfRule type="cellIs" dxfId="0" priority="11" operator="greaterThan">
      <formula>0</formula>
    </cfRule>
  </conditionalFormatting>
  <conditionalFormatting sqref="B1:B999 E24:E30">
    <cfRule type="expression" dxfId="2" priority="12">
      <formula>COUNTIF($E$1:$E$999, B1) &gt; 0</formula>
    </cfRule>
  </conditionalFormatting>
  <conditionalFormatting sqref="B1:B999 E24:E30">
    <cfRule type="expression" dxfId="2" priority="13">
      <formula>COUNTIF($K$1:$K$999, B1) &gt; 0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5" si="1">SUMIF(B:B,"*"&amp;E1&amp;"*",C:C)</f>
        <v>254.27</v>
      </c>
      <c r="G1" s="28"/>
      <c r="H1" s="1" t="s">
        <v>46</v>
      </c>
      <c r="I1" s="5">
        <f>I6-I7</f>
        <v>-599.25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111.7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T1" s="1"/>
      <c r="U1" s="1"/>
      <c r="V1" s="1"/>
      <c r="W1" s="19"/>
      <c r="X1" s="19"/>
      <c r="Y1" s="19"/>
      <c r="Z1" s="19"/>
    </row>
    <row r="2">
      <c r="A2" s="39">
        <v>45778.0</v>
      </c>
      <c r="B2" s="4" t="s">
        <v>8</v>
      </c>
      <c r="C2" s="21">
        <v>0.0</v>
      </c>
      <c r="E2" s="1" t="s">
        <v>52</v>
      </c>
      <c r="F2" s="5">
        <f t="shared" si="1"/>
        <v>39.24</v>
      </c>
      <c r="G2" s="28"/>
      <c r="H2" s="1" t="s">
        <v>6</v>
      </c>
      <c r="I2" s="5">
        <f>SUMIF(B:B,H2,C:C)</f>
        <v>1000</v>
      </c>
      <c r="K2" s="1" t="s">
        <v>53</v>
      </c>
      <c r="L2" s="5">
        <f t="shared" si="2"/>
        <v>0</v>
      </c>
      <c r="N2" s="39">
        <v>45778.0</v>
      </c>
      <c r="O2" s="5">
        <f>sumif(A:A,N2,C:C)-sum(C2:C4)</f>
        <v>121.03</v>
      </c>
      <c r="P2" s="5">
        <f>SUM(O2)</f>
        <v>121.03</v>
      </c>
      <c r="Q2" s="5">
        <f t="shared" ref="Q2:Q32" si="3">P2/(ROW()-1)</f>
        <v>121.03</v>
      </c>
      <c r="R2" s="9">
        <f t="shared" ref="R2:R32" si="4">count(N:N)*Q2</f>
        <v>3751.93</v>
      </c>
      <c r="T2" s="9"/>
      <c r="U2" s="9"/>
    </row>
    <row r="3">
      <c r="A3" s="39">
        <v>45778.0</v>
      </c>
      <c r="B3" s="4" t="s">
        <v>54</v>
      </c>
      <c r="C3" s="41">
        <f>850+32.74+153.28</f>
        <v>1036.02</v>
      </c>
      <c r="E3" s="1" t="s">
        <v>209</v>
      </c>
      <c r="F3" s="5">
        <f t="shared" si="1"/>
        <v>0</v>
      </c>
      <c r="G3" s="28"/>
      <c r="H3" s="1" t="s">
        <v>8</v>
      </c>
      <c r="I3" s="5">
        <f>SUMIF(B:B,H3,C:C)+I1</f>
        <v>-599.25</v>
      </c>
      <c r="K3" s="1" t="s">
        <v>56</v>
      </c>
      <c r="L3" s="5">
        <f t="shared" si="2"/>
        <v>0</v>
      </c>
      <c r="N3" s="39">
        <v>45779.0</v>
      </c>
      <c r="O3" s="40">
        <f t="shared" ref="O3:O32" si="5">sumif(A:A,N3,C:C)</f>
        <v>127.63</v>
      </c>
      <c r="P3" s="5">
        <f t="shared" ref="P3:P32" si="6">P2+O3</f>
        <v>248.66</v>
      </c>
      <c r="Q3" s="5">
        <f t="shared" si="3"/>
        <v>124.33</v>
      </c>
      <c r="R3" s="9">
        <f t="shared" si="4"/>
        <v>3854.23</v>
      </c>
    </row>
    <row r="4">
      <c r="A4" s="39">
        <v>45778.0</v>
      </c>
      <c r="B4" s="4" t="s">
        <v>6</v>
      </c>
      <c r="C4" s="21">
        <v>1000.0</v>
      </c>
      <c r="E4" s="1" t="s">
        <v>140</v>
      </c>
      <c r="F4" s="5">
        <f t="shared" si="1"/>
        <v>80.56</v>
      </c>
      <c r="G4" s="28"/>
      <c r="H4" s="1" t="s">
        <v>58</v>
      </c>
      <c r="I4" s="5">
        <f>I2+I3</f>
        <v>400.75</v>
      </c>
      <c r="K4" s="1" t="s">
        <v>59</v>
      </c>
      <c r="L4" s="5">
        <f t="shared" si="2"/>
        <v>0</v>
      </c>
      <c r="N4" s="39">
        <v>45780.0</v>
      </c>
      <c r="O4" s="40">
        <f t="shared" si="5"/>
        <v>43.4</v>
      </c>
      <c r="P4" s="5">
        <f t="shared" si="6"/>
        <v>292.06</v>
      </c>
      <c r="Q4" s="5">
        <f t="shared" si="3"/>
        <v>97.35333333</v>
      </c>
      <c r="R4" s="9">
        <f t="shared" si="4"/>
        <v>3017.953333</v>
      </c>
    </row>
    <row r="5">
      <c r="A5" s="39">
        <v>45778.0</v>
      </c>
      <c r="B5" s="4" t="s">
        <v>63</v>
      </c>
      <c r="C5" s="21">
        <v>7.0</v>
      </c>
      <c r="E5" s="1" t="s">
        <v>210</v>
      </c>
      <c r="F5" s="5">
        <f t="shared" si="1"/>
        <v>181.67</v>
      </c>
      <c r="G5" s="28"/>
      <c r="K5" s="1" t="s">
        <v>62</v>
      </c>
      <c r="L5" s="5">
        <f t="shared" si="2"/>
        <v>7.9</v>
      </c>
      <c r="N5" s="39">
        <v>45781.0</v>
      </c>
      <c r="O5" s="40">
        <f t="shared" si="5"/>
        <v>34.2</v>
      </c>
      <c r="P5" s="5">
        <f t="shared" si="6"/>
        <v>326.26</v>
      </c>
      <c r="Q5" s="5">
        <f t="shared" si="3"/>
        <v>81.565</v>
      </c>
      <c r="R5" s="9">
        <f t="shared" si="4"/>
        <v>2528.515</v>
      </c>
    </row>
    <row r="6">
      <c r="A6" s="39">
        <v>45778.0</v>
      </c>
      <c r="B6" s="4" t="s">
        <v>67</v>
      </c>
      <c r="C6" s="12">
        <v>21.99</v>
      </c>
      <c r="E6" s="1" t="s">
        <v>57</v>
      </c>
      <c r="F6" s="5">
        <f>SUMIF(B:B,"*"&amp;E6&amp;"*",C:C)+SUM(L1:L7)</f>
        <v>257.96</v>
      </c>
      <c r="G6" s="28"/>
      <c r="H6" s="1" t="s">
        <v>65</v>
      </c>
      <c r="I6" s="21">
        <v>3250.44</v>
      </c>
      <c r="K6" s="1" t="s">
        <v>66</v>
      </c>
      <c r="L6" s="5">
        <f t="shared" si="2"/>
        <v>42.69</v>
      </c>
      <c r="N6" s="39">
        <v>45782.0</v>
      </c>
      <c r="O6" s="40">
        <f t="shared" si="5"/>
        <v>34.66</v>
      </c>
      <c r="P6" s="5">
        <f t="shared" si="6"/>
        <v>360.92</v>
      </c>
      <c r="Q6" s="5">
        <f t="shared" si="3"/>
        <v>72.184</v>
      </c>
      <c r="R6" s="9">
        <f t="shared" si="4"/>
        <v>2237.704</v>
      </c>
    </row>
    <row r="7">
      <c r="A7" s="39">
        <v>45778.0</v>
      </c>
      <c r="B7" s="4" t="s">
        <v>183</v>
      </c>
      <c r="C7" s="21">
        <f>99/12</f>
        <v>8.25</v>
      </c>
      <c r="E7" s="42" t="s">
        <v>61</v>
      </c>
      <c r="F7" s="5">
        <f t="shared" ref="F7:F14" si="7">SUMIF(B:B,"*"&amp;E7&amp;"*",C:C)</f>
        <v>78.94</v>
      </c>
      <c r="G7" s="28"/>
      <c r="H7" s="1" t="s">
        <v>68</v>
      </c>
      <c r="I7" s="5">
        <f>sum(C:C)</f>
        <v>3849.69</v>
      </c>
      <c r="K7" s="1" t="s">
        <v>69</v>
      </c>
      <c r="L7" s="5">
        <f t="shared" si="2"/>
        <v>23</v>
      </c>
      <c r="N7" s="39">
        <v>45783.0</v>
      </c>
      <c r="O7" s="40">
        <f t="shared" si="5"/>
        <v>27.93</v>
      </c>
      <c r="P7" s="5">
        <f t="shared" si="6"/>
        <v>388.85</v>
      </c>
      <c r="Q7" s="5">
        <f t="shared" si="3"/>
        <v>64.80833333</v>
      </c>
      <c r="R7" s="9">
        <f t="shared" si="4"/>
        <v>2009.058333</v>
      </c>
    </row>
    <row r="8">
      <c r="A8" s="39">
        <v>45778.0</v>
      </c>
      <c r="B8" s="4" t="s">
        <v>216</v>
      </c>
      <c r="C8" s="21">
        <v>50.0</v>
      </c>
      <c r="E8" s="1" t="s">
        <v>64</v>
      </c>
      <c r="F8" s="5">
        <f t="shared" si="7"/>
        <v>107.16</v>
      </c>
      <c r="G8" s="28"/>
      <c r="H8" s="1" t="s">
        <v>72</v>
      </c>
      <c r="I8" s="5">
        <f>sum(F:F)+I2+C2</f>
        <v>3293.16</v>
      </c>
      <c r="N8" s="39">
        <v>45784.0</v>
      </c>
      <c r="O8" s="40">
        <f t="shared" si="5"/>
        <v>21.14</v>
      </c>
      <c r="P8" s="5">
        <f t="shared" si="6"/>
        <v>409.99</v>
      </c>
      <c r="Q8" s="5">
        <f t="shared" si="3"/>
        <v>58.57</v>
      </c>
      <c r="R8" s="9">
        <f t="shared" si="4"/>
        <v>1815.67</v>
      </c>
    </row>
    <row r="9">
      <c r="A9" s="39">
        <v>45778.0</v>
      </c>
      <c r="B9" s="4" t="s">
        <v>127</v>
      </c>
      <c r="C9" s="21">
        <v>5.8</v>
      </c>
      <c r="E9" s="1" t="s">
        <v>54</v>
      </c>
      <c r="F9" s="5">
        <f t="shared" si="7"/>
        <v>1043.02</v>
      </c>
      <c r="G9" s="28"/>
      <c r="H9" s="1" t="s">
        <v>74</v>
      </c>
      <c r="I9" s="5">
        <f>I7-I8</f>
        <v>556.53</v>
      </c>
      <c r="J9" s="28">
        <f>I9/$I$6</f>
        <v>0.1712168199</v>
      </c>
      <c r="N9" s="39">
        <v>45785.0</v>
      </c>
      <c r="O9" s="40">
        <f t="shared" si="5"/>
        <v>72.25</v>
      </c>
      <c r="P9" s="5">
        <f t="shared" si="6"/>
        <v>482.24</v>
      </c>
      <c r="Q9" s="5">
        <f t="shared" si="3"/>
        <v>60.28</v>
      </c>
      <c r="R9" s="9">
        <f t="shared" si="4"/>
        <v>1868.68</v>
      </c>
    </row>
    <row r="10">
      <c r="A10" s="39">
        <v>45778.0</v>
      </c>
      <c r="B10" s="4" t="s">
        <v>57</v>
      </c>
      <c r="C10" s="21">
        <v>4.99</v>
      </c>
      <c r="E10" s="1" t="s">
        <v>127</v>
      </c>
      <c r="F10" s="5">
        <f t="shared" si="7"/>
        <v>50.4</v>
      </c>
      <c r="G10" s="28"/>
      <c r="N10" s="39">
        <v>45786.0</v>
      </c>
      <c r="O10" s="40">
        <f t="shared" si="5"/>
        <v>37.25</v>
      </c>
      <c r="P10" s="5">
        <f t="shared" si="6"/>
        <v>519.49</v>
      </c>
      <c r="Q10" s="5">
        <f t="shared" si="3"/>
        <v>57.72111111</v>
      </c>
      <c r="R10" s="9">
        <f t="shared" si="4"/>
        <v>1789.354444</v>
      </c>
    </row>
    <row r="11">
      <c r="A11" s="39">
        <v>45778.0</v>
      </c>
      <c r="B11" s="4" t="s">
        <v>210</v>
      </c>
      <c r="C11" s="21">
        <v>23.0</v>
      </c>
      <c r="E11" s="1" t="s">
        <v>73</v>
      </c>
      <c r="F11" s="5">
        <f t="shared" si="7"/>
        <v>97.16</v>
      </c>
      <c r="G11" s="28"/>
      <c r="H11" s="1" t="s">
        <v>3</v>
      </c>
      <c r="I11" s="28">
        <f>I4/I6</f>
        <v>0.1232910006</v>
      </c>
      <c r="N11" s="39">
        <v>45787.0</v>
      </c>
      <c r="O11" s="40">
        <f t="shared" si="5"/>
        <v>433.64</v>
      </c>
      <c r="P11" s="5">
        <f t="shared" si="6"/>
        <v>953.13</v>
      </c>
      <c r="Q11" s="5">
        <f t="shared" si="3"/>
        <v>95.313</v>
      </c>
      <c r="R11" s="9">
        <f t="shared" si="4"/>
        <v>2954.703</v>
      </c>
    </row>
    <row r="12">
      <c r="A12" s="39">
        <v>45779.0</v>
      </c>
      <c r="B12" s="4" t="s">
        <v>217</v>
      </c>
      <c r="C12" s="21">
        <v>29.34</v>
      </c>
      <c r="E12" s="1" t="s">
        <v>75</v>
      </c>
      <c r="F12" s="5">
        <f t="shared" si="7"/>
        <v>21.99</v>
      </c>
      <c r="G12" s="28"/>
      <c r="N12" s="39">
        <v>45788.0</v>
      </c>
      <c r="O12" s="40">
        <f t="shared" si="5"/>
        <v>30.77</v>
      </c>
      <c r="P12" s="5">
        <f t="shared" si="6"/>
        <v>983.9</v>
      </c>
      <c r="Q12" s="5">
        <f t="shared" si="3"/>
        <v>89.44545455</v>
      </c>
      <c r="R12" s="9">
        <f t="shared" si="4"/>
        <v>2772.809091</v>
      </c>
    </row>
    <row r="13">
      <c r="A13" s="39">
        <v>45779.0</v>
      </c>
      <c r="B13" s="4" t="s">
        <v>218</v>
      </c>
      <c r="C13" s="21">
        <v>75.9</v>
      </c>
      <c r="E13" s="1" t="s">
        <v>76</v>
      </c>
      <c r="F13" s="5">
        <f t="shared" si="7"/>
        <v>4.89</v>
      </c>
      <c r="G13" s="28"/>
      <c r="N13" s="39">
        <v>45789.0</v>
      </c>
      <c r="O13" s="40">
        <f t="shared" si="5"/>
        <v>73.88</v>
      </c>
      <c r="P13" s="5">
        <f t="shared" si="6"/>
        <v>1057.78</v>
      </c>
      <c r="Q13" s="5">
        <f t="shared" si="3"/>
        <v>88.14833333</v>
      </c>
      <c r="R13" s="9">
        <f t="shared" si="4"/>
        <v>2732.598333</v>
      </c>
    </row>
    <row r="14">
      <c r="A14" s="39">
        <v>45779.0</v>
      </c>
      <c r="B14" s="4" t="s">
        <v>57</v>
      </c>
      <c r="C14" s="21">
        <v>9.48</v>
      </c>
      <c r="E14" s="1" t="s">
        <v>77</v>
      </c>
      <c r="F14" s="5">
        <f t="shared" si="7"/>
        <v>75.9</v>
      </c>
      <c r="G14" s="28"/>
      <c r="H14" s="19"/>
      <c r="N14" s="39">
        <v>45790.0</v>
      </c>
      <c r="O14" s="40">
        <f t="shared" si="5"/>
        <v>5.44</v>
      </c>
      <c r="P14" s="5">
        <f t="shared" si="6"/>
        <v>1063.22</v>
      </c>
      <c r="Q14" s="5">
        <f t="shared" si="3"/>
        <v>81.78615385</v>
      </c>
      <c r="R14" s="9">
        <f t="shared" si="4"/>
        <v>2535.370769</v>
      </c>
    </row>
    <row r="15">
      <c r="A15" s="39">
        <v>45779.0</v>
      </c>
      <c r="B15" s="4" t="s">
        <v>47</v>
      </c>
      <c r="C15" s="21">
        <v>0.95</v>
      </c>
      <c r="E15" s="1"/>
      <c r="H15" s="1" t="s">
        <v>55</v>
      </c>
      <c r="I15" s="5">
        <f>sum(F2:F5)+F13</f>
        <v>306.36</v>
      </c>
      <c r="J15" s="28">
        <f>I15/$I$6</f>
        <v>0.09425185513</v>
      </c>
      <c r="N15" s="39">
        <v>45791.0</v>
      </c>
      <c r="O15" s="40">
        <f t="shared" si="5"/>
        <v>21.62</v>
      </c>
      <c r="P15" s="5">
        <f t="shared" si="6"/>
        <v>1084.84</v>
      </c>
      <c r="Q15" s="5">
        <f t="shared" si="3"/>
        <v>77.48857143</v>
      </c>
      <c r="R15" s="9">
        <f t="shared" si="4"/>
        <v>2402.145714</v>
      </c>
    </row>
    <row r="16">
      <c r="A16" s="39">
        <v>45779.0</v>
      </c>
      <c r="B16" s="4" t="s">
        <v>73</v>
      </c>
      <c r="C16" s="21">
        <v>11.96</v>
      </c>
      <c r="H16" s="19"/>
      <c r="N16" s="39">
        <v>45792.0</v>
      </c>
      <c r="O16" s="40">
        <f t="shared" si="5"/>
        <v>36.69</v>
      </c>
      <c r="P16" s="5">
        <f t="shared" si="6"/>
        <v>1121.53</v>
      </c>
      <c r="Q16" s="5">
        <f t="shared" si="3"/>
        <v>74.76866667</v>
      </c>
      <c r="R16" s="9">
        <f t="shared" si="4"/>
        <v>2317.828667</v>
      </c>
    </row>
    <row r="17">
      <c r="A17" s="39">
        <v>45780.0</v>
      </c>
      <c r="B17" s="4" t="s">
        <v>127</v>
      </c>
      <c r="C17" s="21">
        <v>2.9</v>
      </c>
      <c r="H17" s="19"/>
      <c r="N17" s="39">
        <v>45793.0</v>
      </c>
      <c r="O17" s="40">
        <f t="shared" si="5"/>
        <v>35.79</v>
      </c>
      <c r="P17" s="5">
        <f t="shared" si="6"/>
        <v>1157.32</v>
      </c>
      <c r="Q17" s="5">
        <f t="shared" si="3"/>
        <v>72.3325</v>
      </c>
      <c r="R17" s="9">
        <f t="shared" si="4"/>
        <v>2242.3075</v>
      </c>
    </row>
    <row r="18">
      <c r="A18" s="39">
        <v>45780.0</v>
      </c>
      <c r="B18" s="4" t="s">
        <v>210</v>
      </c>
      <c r="C18" s="21">
        <v>34.0</v>
      </c>
      <c r="H18" s="19"/>
      <c r="N18" s="39">
        <v>45794.0</v>
      </c>
      <c r="O18" s="40">
        <f t="shared" si="5"/>
        <v>6.4</v>
      </c>
      <c r="P18" s="5">
        <f t="shared" si="6"/>
        <v>1163.72</v>
      </c>
      <c r="Q18" s="5">
        <f t="shared" si="3"/>
        <v>68.45411765</v>
      </c>
      <c r="R18" s="9">
        <f t="shared" si="4"/>
        <v>2122.077647</v>
      </c>
    </row>
    <row r="19">
      <c r="A19" s="39">
        <v>45780.0</v>
      </c>
      <c r="B19" s="4" t="s">
        <v>219</v>
      </c>
      <c r="C19" s="21">
        <v>6.5</v>
      </c>
      <c r="H19" s="19"/>
      <c r="N19" s="39">
        <v>45795.0</v>
      </c>
      <c r="O19" s="40">
        <f t="shared" si="5"/>
        <v>67.02</v>
      </c>
      <c r="P19" s="5">
        <f t="shared" si="6"/>
        <v>1230.74</v>
      </c>
      <c r="Q19" s="5">
        <f t="shared" si="3"/>
        <v>68.37444444</v>
      </c>
      <c r="R19" s="9">
        <f t="shared" si="4"/>
        <v>2119.607778</v>
      </c>
    </row>
    <row r="20">
      <c r="A20" s="39">
        <v>45781.0</v>
      </c>
      <c r="B20" s="4" t="s">
        <v>220</v>
      </c>
      <c r="C20" s="21">
        <v>34.2</v>
      </c>
      <c r="H20" s="19"/>
      <c r="N20" s="39">
        <v>45796.0</v>
      </c>
      <c r="O20" s="40">
        <f t="shared" si="5"/>
        <v>7.35</v>
      </c>
      <c r="P20" s="5">
        <f t="shared" si="6"/>
        <v>1238.09</v>
      </c>
      <c r="Q20" s="5">
        <f t="shared" si="3"/>
        <v>65.16263158</v>
      </c>
      <c r="R20" s="9">
        <f t="shared" si="4"/>
        <v>2020.041579</v>
      </c>
    </row>
    <row r="21">
      <c r="A21" s="39">
        <v>45782.0</v>
      </c>
      <c r="B21" s="4" t="s">
        <v>221</v>
      </c>
      <c r="C21" s="21">
        <v>11.69</v>
      </c>
      <c r="E21" s="19"/>
      <c r="F21" s="5"/>
      <c r="H21" s="19"/>
      <c r="N21" s="39">
        <v>45797.0</v>
      </c>
      <c r="O21" s="40">
        <f t="shared" si="5"/>
        <v>25.73</v>
      </c>
      <c r="P21" s="5">
        <f t="shared" si="6"/>
        <v>1263.82</v>
      </c>
      <c r="Q21" s="5">
        <f t="shared" si="3"/>
        <v>63.191</v>
      </c>
      <c r="R21" s="9">
        <f t="shared" si="4"/>
        <v>1958.921</v>
      </c>
    </row>
    <row r="22">
      <c r="A22" s="39">
        <v>45782.0</v>
      </c>
      <c r="B22" s="4" t="s">
        <v>73</v>
      </c>
      <c r="C22" s="4">
        <v>7.97</v>
      </c>
      <c r="E22" s="19"/>
      <c r="F22" s="5"/>
      <c r="H22" s="19"/>
      <c r="N22" s="39">
        <v>45798.0</v>
      </c>
      <c r="O22" s="40">
        <f t="shared" si="5"/>
        <v>0</v>
      </c>
      <c r="P22" s="5">
        <f t="shared" si="6"/>
        <v>1263.82</v>
      </c>
      <c r="Q22" s="5">
        <f t="shared" si="3"/>
        <v>60.18190476</v>
      </c>
      <c r="R22" s="9">
        <f t="shared" si="4"/>
        <v>1865.639048</v>
      </c>
    </row>
    <row r="23">
      <c r="A23" s="39">
        <v>45782.0</v>
      </c>
      <c r="B23" s="4" t="s">
        <v>52</v>
      </c>
      <c r="C23" s="21">
        <v>15.0</v>
      </c>
      <c r="E23" s="19"/>
      <c r="F23" s="5"/>
      <c r="H23" s="19"/>
      <c r="N23" s="39">
        <v>45799.0</v>
      </c>
      <c r="O23" s="40">
        <f t="shared" si="5"/>
        <v>121.06</v>
      </c>
      <c r="P23" s="5">
        <f t="shared" si="6"/>
        <v>1384.88</v>
      </c>
      <c r="Q23" s="5">
        <f t="shared" si="3"/>
        <v>62.94909091</v>
      </c>
      <c r="R23" s="9">
        <f t="shared" si="4"/>
        <v>1951.421818</v>
      </c>
    </row>
    <row r="24">
      <c r="A24" s="39">
        <v>45783.0</v>
      </c>
      <c r="B24" s="4" t="s">
        <v>66</v>
      </c>
      <c r="C24" s="21">
        <v>2.5</v>
      </c>
      <c r="F24" s="5"/>
      <c r="H24" s="19"/>
      <c r="N24" s="39">
        <v>45800.0</v>
      </c>
      <c r="O24" s="40">
        <f t="shared" si="5"/>
        <v>74.2</v>
      </c>
      <c r="P24" s="5">
        <f t="shared" si="6"/>
        <v>1459.08</v>
      </c>
      <c r="Q24" s="5">
        <f t="shared" si="3"/>
        <v>63.43826087</v>
      </c>
      <c r="R24" s="9">
        <f t="shared" si="4"/>
        <v>1966.586087</v>
      </c>
    </row>
    <row r="25">
      <c r="A25" s="39">
        <v>45783.0</v>
      </c>
      <c r="B25" s="4" t="s">
        <v>47</v>
      </c>
      <c r="C25" s="21">
        <v>22.53</v>
      </c>
      <c r="F25" s="5"/>
      <c r="H25" s="19"/>
      <c r="N25" s="39">
        <v>45801.0</v>
      </c>
      <c r="O25" s="40">
        <f t="shared" si="5"/>
        <v>23.64</v>
      </c>
      <c r="P25" s="5">
        <f t="shared" si="6"/>
        <v>1482.72</v>
      </c>
      <c r="Q25" s="5">
        <f t="shared" si="3"/>
        <v>61.78</v>
      </c>
      <c r="R25" s="9">
        <f t="shared" si="4"/>
        <v>1915.18</v>
      </c>
    </row>
    <row r="26">
      <c r="A26" s="39">
        <v>45783.0</v>
      </c>
      <c r="B26" s="4" t="s">
        <v>127</v>
      </c>
      <c r="C26" s="21">
        <v>2.9</v>
      </c>
      <c r="F26" s="5"/>
      <c r="H26" s="19"/>
      <c r="N26" s="39">
        <v>45802.0</v>
      </c>
      <c r="O26" s="40">
        <f t="shared" si="5"/>
        <v>12.94</v>
      </c>
      <c r="P26" s="5">
        <f t="shared" si="6"/>
        <v>1495.66</v>
      </c>
      <c r="Q26" s="5">
        <f t="shared" si="3"/>
        <v>59.8264</v>
      </c>
      <c r="R26" s="9">
        <f t="shared" si="4"/>
        <v>1854.6184</v>
      </c>
    </row>
    <row r="27">
      <c r="A27" s="39">
        <v>45784.0</v>
      </c>
      <c r="B27" s="4" t="s">
        <v>140</v>
      </c>
      <c r="C27" s="21">
        <v>8.0</v>
      </c>
      <c r="F27" s="5"/>
      <c r="H27" s="19"/>
      <c r="N27" s="39">
        <v>45803.0</v>
      </c>
      <c r="O27" s="40">
        <f t="shared" si="5"/>
        <v>38.89</v>
      </c>
      <c r="P27" s="5">
        <f t="shared" si="6"/>
        <v>1534.55</v>
      </c>
      <c r="Q27" s="5">
        <f t="shared" si="3"/>
        <v>59.02115385</v>
      </c>
      <c r="R27" s="9">
        <f t="shared" si="4"/>
        <v>1829.655769</v>
      </c>
    </row>
    <row r="28">
      <c r="A28" s="39">
        <v>45784.0</v>
      </c>
      <c r="B28" s="4" t="s">
        <v>62</v>
      </c>
      <c r="C28" s="21">
        <v>4.45</v>
      </c>
      <c r="F28" s="5"/>
      <c r="H28" s="19"/>
      <c r="N28" s="39">
        <v>45804.0</v>
      </c>
      <c r="O28" s="40">
        <f t="shared" si="5"/>
        <v>0</v>
      </c>
      <c r="P28" s="5">
        <f t="shared" si="6"/>
        <v>1534.55</v>
      </c>
      <c r="Q28" s="5">
        <f t="shared" si="3"/>
        <v>56.83518519</v>
      </c>
      <c r="R28" s="9">
        <f t="shared" si="4"/>
        <v>1761.890741</v>
      </c>
    </row>
    <row r="29">
      <c r="A29" s="39">
        <v>45784.0</v>
      </c>
      <c r="B29" s="4" t="s">
        <v>47</v>
      </c>
      <c r="C29" s="21">
        <v>8.69</v>
      </c>
      <c r="F29" s="5"/>
      <c r="H29" s="19"/>
      <c r="N29" s="39">
        <v>45805.0</v>
      </c>
      <c r="O29" s="40">
        <f t="shared" si="5"/>
        <v>47</v>
      </c>
      <c r="P29" s="5">
        <f t="shared" si="6"/>
        <v>1581.55</v>
      </c>
      <c r="Q29" s="5">
        <f t="shared" si="3"/>
        <v>56.48392857</v>
      </c>
      <c r="R29" s="9">
        <f t="shared" si="4"/>
        <v>1751.001786</v>
      </c>
    </row>
    <row r="30">
      <c r="A30" s="39">
        <v>45785.0</v>
      </c>
      <c r="B30" s="4" t="s">
        <v>127</v>
      </c>
      <c r="C30" s="4">
        <v>6.4</v>
      </c>
      <c r="F30" s="5"/>
      <c r="H30" s="19"/>
      <c r="N30" s="39">
        <v>45806.0</v>
      </c>
      <c r="O30" s="40">
        <f t="shared" si="5"/>
        <v>56.51</v>
      </c>
      <c r="P30" s="5">
        <f t="shared" si="6"/>
        <v>1638.06</v>
      </c>
      <c r="Q30" s="5">
        <f t="shared" si="3"/>
        <v>56.48482759</v>
      </c>
      <c r="R30" s="9">
        <f t="shared" si="4"/>
        <v>1751.029655</v>
      </c>
    </row>
    <row r="31">
      <c r="A31" s="39">
        <v>45785.0</v>
      </c>
      <c r="B31" s="4" t="s">
        <v>222</v>
      </c>
      <c r="C31" s="21">
        <v>32.5</v>
      </c>
      <c r="E31" s="19"/>
      <c r="F31" s="5"/>
      <c r="H31" s="19"/>
      <c r="N31" s="39">
        <v>45807.0</v>
      </c>
      <c r="O31" s="40">
        <f t="shared" si="5"/>
        <v>25.24</v>
      </c>
      <c r="P31" s="5">
        <f t="shared" si="6"/>
        <v>1663.3</v>
      </c>
      <c r="Q31" s="5">
        <f t="shared" si="3"/>
        <v>55.44333333</v>
      </c>
      <c r="R31" s="9">
        <f t="shared" si="4"/>
        <v>1718.743333</v>
      </c>
    </row>
    <row r="32">
      <c r="A32" s="39">
        <v>45785.0</v>
      </c>
      <c r="B32" s="4" t="s">
        <v>110</v>
      </c>
      <c r="C32" s="4">
        <v>25.0</v>
      </c>
      <c r="E32" s="19"/>
      <c r="F32" s="5"/>
      <c r="H32" s="19"/>
      <c r="N32" s="39">
        <v>45808.0</v>
      </c>
      <c r="O32" s="40">
        <f t="shared" si="5"/>
        <v>150.37</v>
      </c>
      <c r="P32" s="5">
        <f t="shared" si="6"/>
        <v>1813.67</v>
      </c>
      <c r="Q32" s="5">
        <f t="shared" si="3"/>
        <v>58.50548387</v>
      </c>
      <c r="R32" s="9">
        <f t="shared" si="4"/>
        <v>1813.67</v>
      </c>
    </row>
    <row r="33">
      <c r="A33" s="39">
        <v>45785.0</v>
      </c>
      <c r="B33" s="4" t="s">
        <v>66</v>
      </c>
      <c r="C33" s="21">
        <v>2.75</v>
      </c>
      <c r="E33" s="19"/>
      <c r="F33" s="5"/>
      <c r="H33" s="19"/>
      <c r="N33" s="39"/>
      <c r="Q33" s="5"/>
      <c r="R33" s="9"/>
    </row>
    <row r="34">
      <c r="A34" s="39">
        <v>45785.0</v>
      </c>
      <c r="B34" s="4" t="s">
        <v>47</v>
      </c>
      <c r="C34" s="21">
        <v>5.6</v>
      </c>
      <c r="E34" s="19"/>
      <c r="F34" s="5"/>
      <c r="H34" s="19"/>
      <c r="Q34" s="5"/>
      <c r="R34" s="9"/>
    </row>
    <row r="35">
      <c r="A35" s="39">
        <v>45786.0</v>
      </c>
      <c r="B35" s="4" t="s">
        <v>76</v>
      </c>
      <c r="C35" s="21">
        <v>3.9</v>
      </c>
      <c r="E35" s="19"/>
      <c r="F35" s="5"/>
      <c r="H35" s="19"/>
      <c r="Q35" s="5"/>
      <c r="R35" s="9"/>
    </row>
    <row r="36">
      <c r="A36" s="39">
        <v>45786.0</v>
      </c>
      <c r="B36" s="4" t="s">
        <v>66</v>
      </c>
      <c r="C36" s="21">
        <v>4.55</v>
      </c>
      <c r="E36" s="19"/>
      <c r="F36" s="5"/>
      <c r="H36" s="19"/>
      <c r="Q36" s="5"/>
      <c r="R36" s="9"/>
    </row>
    <row r="37">
      <c r="A37" s="39">
        <v>45786.0</v>
      </c>
      <c r="B37" s="4" t="s">
        <v>210</v>
      </c>
      <c r="C37" s="21">
        <v>28.8</v>
      </c>
      <c r="E37" s="19"/>
      <c r="F37" s="5"/>
      <c r="H37" s="19"/>
      <c r="Q37" s="5"/>
      <c r="R37" s="9"/>
    </row>
    <row r="38">
      <c r="A38" s="39">
        <v>45787.0</v>
      </c>
      <c r="B38" s="4" t="s">
        <v>223</v>
      </c>
      <c r="C38" s="4">
        <f>40+19.95+15.03</f>
        <v>74.98</v>
      </c>
      <c r="E38" s="19"/>
      <c r="F38" s="5"/>
      <c r="H38" s="19"/>
      <c r="Q38" s="5"/>
      <c r="R38" s="9"/>
    </row>
    <row r="39">
      <c r="A39" s="39">
        <v>45787.0</v>
      </c>
      <c r="B39" s="4" t="s">
        <v>57</v>
      </c>
      <c r="C39" s="21">
        <v>2.99</v>
      </c>
      <c r="E39" s="19"/>
      <c r="F39" s="5"/>
      <c r="H39" s="19"/>
      <c r="Q39" s="5"/>
      <c r="R39" s="9"/>
    </row>
    <row r="40">
      <c r="A40" s="39">
        <v>45787.0</v>
      </c>
      <c r="B40" s="4" t="s">
        <v>224</v>
      </c>
      <c r="C40" s="21">
        <f>17.7+14.5+5+11+14.1+9.6+12.5+12.5+6.2+6.2+5.99+10.4</f>
        <v>125.69</v>
      </c>
      <c r="E40" s="19"/>
      <c r="F40" s="5"/>
      <c r="H40" s="19"/>
      <c r="Q40" s="5"/>
      <c r="R40" s="9"/>
    </row>
    <row r="41">
      <c r="A41" s="39">
        <v>45787.0</v>
      </c>
      <c r="B41" s="4" t="s">
        <v>225</v>
      </c>
      <c r="C41" s="21">
        <f>18.27+6.09</f>
        <v>24.36</v>
      </c>
      <c r="E41" s="19"/>
      <c r="F41" s="5"/>
      <c r="H41" s="19"/>
      <c r="Q41" s="5"/>
      <c r="R41" s="9"/>
    </row>
    <row r="42">
      <c r="A42" s="39">
        <v>45787.0</v>
      </c>
      <c r="B42" s="4" t="s">
        <v>226</v>
      </c>
      <c r="C42" s="21">
        <f>199.63+5.99</f>
        <v>205.62</v>
      </c>
      <c r="E42" s="19"/>
      <c r="F42" s="5"/>
      <c r="H42" s="19"/>
      <c r="Q42" s="5"/>
      <c r="R42" s="9"/>
    </row>
    <row r="43">
      <c r="A43" s="39">
        <v>45788.0</v>
      </c>
      <c r="B43" s="4" t="s">
        <v>73</v>
      </c>
      <c r="C43" s="21">
        <v>10.91</v>
      </c>
      <c r="E43" s="19"/>
      <c r="F43" s="5"/>
      <c r="H43" s="19"/>
      <c r="Q43" s="5"/>
      <c r="R43" s="9"/>
    </row>
    <row r="44">
      <c r="A44" s="39">
        <v>45788.0</v>
      </c>
      <c r="B44" s="4" t="s">
        <v>57</v>
      </c>
      <c r="C44" s="21">
        <v>2.09</v>
      </c>
      <c r="E44" s="19"/>
      <c r="F44" s="5"/>
      <c r="H44" s="19"/>
      <c r="Q44" s="5"/>
      <c r="R44" s="9"/>
    </row>
    <row r="45">
      <c r="A45" s="39">
        <v>45788.0</v>
      </c>
      <c r="B45" s="4" t="s">
        <v>127</v>
      </c>
      <c r="C45" s="21">
        <v>2.9</v>
      </c>
      <c r="E45" s="19"/>
      <c r="F45" s="5"/>
      <c r="H45" s="19"/>
      <c r="Q45" s="5"/>
      <c r="R45" s="9"/>
    </row>
    <row r="46">
      <c r="A46" s="39">
        <v>45788.0</v>
      </c>
      <c r="B46" s="4" t="s">
        <v>210</v>
      </c>
      <c r="C46" s="21">
        <v>14.87</v>
      </c>
      <c r="E46" s="19"/>
      <c r="F46" s="5"/>
      <c r="H46" s="19"/>
      <c r="Q46" s="5"/>
      <c r="R46" s="9"/>
    </row>
    <row r="47">
      <c r="A47" s="39">
        <v>45789.0</v>
      </c>
      <c r="B47" s="4" t="s">
        <v>227</v>
      </c>
      <c r="C47" s="21">
        <v>69.9</v>
      </c>
      <c r="E47" s="19"/>
      <c r="F47" s="5"/>
      <c r="H47" s="19"/>
      <c r="Q47" s="5"/>
      <c r="R47" s="9"/>
    </row>
    <row r="48">
      <c r="A48" s="39">
        <v>45789.0</v>
      </c>
      <c r="B48" s="4" t="s">
        <v>47</v>
      </c>
      <c r="C48" s="21">
        <v>3.98</v>
      </c>
      <c r="E48" s="19"/>
      <c r="F48" s="5"/>
      <c r="H48" s="19"/>
      <c r="Q48" s="5"/>
      <c r="R48" s="9"/>
    </row>
    <row r="49">
      <c r="A49" s="39">
        <v>45790.0</v>
      </c>
      <c r="B49" s="4" t="s">
        <v>66</v>
      </c>
      <c r="C49" s="21">
        <v>4.55</v>
      </c>
      <c r="E49" s="19"/>
      <c r="F49" s="5"/>
      <c r="H49" s="19"/>
      <c r="Q49" s="5"/>
      <c r="R49" s="9"/>
    </row>
    <row r="50">
      <c r="A50" s="39">
        <v>45790.0</v>
      </c>
      <c r="B50" s="4" t="s">
        <v>57</v>
      </c>
      <c r="C50" s="21">
        <v>0.89</v>
      </c>
      <c r="E50" s="19"/>
      <c r="F50" s="5"/>
      <c r="H50" s="19"/>
      <c r="Q50" s="5"/>
      <c r="R50" s="9"/>
    </row>
    <row r="51">
      <c r="A51" s="39">
        <v>45791.0</v>
      </c>
      <c r="B51" s="4" t="s">
        <v>62</v>
      </c>
      <c r="C51" s="21">
        <v>2.15</v>
      </c>
      <c r="E51" s="19"/>
      <c r="F51" s="5"/>
      <c r="H51" s="19"/>
      <c r="Q51" s="5"/>
      <c r="R51" s="9"/>
    </row>
    <row r="52">
      <c r="A52" s="39">
        <v>45791.0</v>
      </c>
      <c r="B52" s="4" t="s">
        <v>76</v>
      </c>
      <c r="C52" s="21">
        <v>0.99</v>
      </c>
      <c r="E52" s="19"/>
      <c r="F52" s="5"/>
      <c r="H52" s="19"/>
      <c r="Q52" s="5"/>
      <c r="R52" s="9"/>
    </row>
    <row r="53">
      <c r="A53" s="39">
        <v>45791.0</v>
      </c>
      <c r="B53" s="4" t="s">
        <v>140</v>
      </c>
      <c r="C53" s="21">
        <v>11.55</v>
      </c>
      <c r="E53" s="19"/>
      <c r="F53" s="5"/>
      <c r="H53" s="19"/>
      <c r="Q53" s="5"/>
      <c r="R53" s="9"/>
    </row>
    <row r="54">
      <c r="A54" s="39">
        <v>45791.0</v>
      </c>
      <c r="B54" s="4" t="s">
        <v>47</v>
      </c>
      <c r="C54" s="4">
        <v>6.93</v>
      </c>
      <c r="E54" s="19"/>
      <c r="F54" s="5"/>
      <c r="H54" s="19"/>
      <c r="Q54" s="5"/>
      <c r="R54" s="9"/>
    </row>
    <row r="55">
      <c r="A55" s="39">
        <v>45792.0</v>
      </c>
      <c r="B55" s="4" t="s">
        <v>213</v>
      </c>
      <c r="C55" s="21">
        <v>16.99</v>
      </c>
      <c r="E55" s="19"/>
      <c r="F55" s="5"/>
      <c r="H55" s="19"/>
      <c r="Q55" s="5"/>
      <c r="R55" s="9"/>
    </row>
    <row r="56">
      <c r="A56" s="39">
        <v>45792.0</v>
      </c>
      <c r="B56" s="4" t="s">
        <v>47</v>
      </c>
      <c r="C56" s="43">
        <v>12.7</v>
      </c>
      <c r="E56" s="19"/>
      <c r="F56" s="5"/>
      <c r="H56" s="19"/>
      <c r="Q56" s="5"/>
      <c r="R56" s="9"/>
    </row>
    <row r="57">
      <c r="A57" s="39">
        <v>45792.0</v>
      </c>
      <c r="B57" s="4" t="s">
        <v>127</v>
      </c>
      <c r="C57" s="21">
        <v>7.0</v>
      </c>
      <c r="E57" s="19"/>
      <c r="F57" s="5"/>
      <c r="H57" s="19"/>
      <c r="Q57" s="5"/>
      <c r="R57" s="9"/>
    </row>
    <row r="58">
      <c r="A58" s="39">
        <v>45793.0</v>
      </c>
      <c r="B58" s="4" t="s">
        <v>45</v>
      </c>
      <c r="C58" s="21">
        <v>20.55</v>
      </c>
      <c r="E58" s="19"/>
      <c r="F58" s="5"/>
      <c r="H58" s="19"/>
      <c r="Q58" s="5"/>
      <c r="R58" s="9"/>
    </row>
    <row r="59">
      <c r="A59" s="39">
        <v>45793.0</v>
      </c>
      <c r="B59" s="4" t="s">
        <v>66</v>
      </c>
      <c r="C59" s="21">
        <v>13.25</v>
      </c>
      <c r="E59" s="19"/>
      <c r="F59" s="5"/>
      <c r="H59" s="19"/>
      <c r="Q59" s="5"/>
      <c r="R59" s="9"/>
    </row>
    <row r="60">
      <c r="A60" s="39">
        <v>45793.0</v>
      </c>
      <c r="B60" s="4" t="s">
        <v>57</v>
      </c>
      <c r="C60" s="21">
        <v>1.99</v>
      </c>
      <c r="E60" s="19"/>
      <c r="F60" s="5"/>
      <c r="H60" s="19"/>
      <c r="Q60" s="5"/>
      <c r="R60" s="9"/>
    </row>
    <row r="61">
      <c r="A61" s="39">
        <v>45794.0</v>
      </c>
      <c r="B61" s="4" t="s">
        <v>52</v>
      </c>
      <c r="C61" s="21">
        <v>6.4</v>
      </c>
      <c r="E61" s="19"/>
      <c r="F61" s="5"/>
      <c r="H61" s="19"/>
      <c r="Q61" s="5"/>
      <c r="R61" s="9"/>
    </row>
    <row r="62">
      <c r="A62" s="39">
        <v>45795.0</v>
      </c>
      <c r="B62" s="4" t="s">
        <v>228</v>
      </c>
      <c r="C62" s="4">
        <v>28.33</v>
      </c>
      <c r="E62" s="19"/>
      <c r="F62" s="5"/>
      <c r="H62" s="19"/>
      <c r="Q62" s="5"/>
      <c r="R62" s="9"/>
    </row>
    <row r="63">
      <c r="A63" s="39">
        <v>45795.0</v>
      </c>
      <c r="B63" s="4" t="s">
        <v>140</v>
      </c>
      <c r="C63" s="21">
        <f>4.5+24.85</f>
        <v>29.35</v>
      </c>
      <c r="E63" s="19"/>
      <c r="F63" s="5"/>
      <c r="H63" s="19"/>
      <c r="Q63" s="5"/>
      <c r="R63" s="9"/>
    </row>
    <row r="64">
      <c r="A64" s="39">
        <v>45795.0</v>
      </c>
      <c r="B64" s="4" t="s">
        <v>66</v>
      </c>
      <c r="C64" s="21">
        <v>9.34</v>
      </c>
      <c r="E64" s="19"/>
      <c r="F64" s="5"/>
      <c r="H64" s="19"/>
      <c r="Q64" s="5"/>
      <c r="R64" s="9"/>
    </row>
    <row r="65">
      <c r="A65" s="39">
        <v>45796.0</v>
      </c>
      <c r="B65" s="4" t="s">
        <v>47</v>
      </c>
      <c r="C65" s="21">
        <f>1+6.35</f>
        <v>7.35</v>
      </c>
      <c r="E65" s="19"/>
      <c r="F65" s="5"/>
      <c r="H65" s="19"/>
      <c r="Q65" s="5"/>
      <c r="R65" s="9"/>
    </row>
    <row r="66">
      <c r="A66" s="39">
        <v>45797.0</v>
      </c>
      <c r="B66" s="4" t="s">
        <v>57</v>
      </c>
      <c r="C66" s="21">
        <v>5.1</v>
      </c>
      <c r="E66" s="19"/>
      <c r="F66" s="5"/>
      <c r="H66" s="19"/>
      <c r="Q66" s="5"/>
      <c r="R66" s="9"/>
    </row>
    <row r="67">
      <c r="A67" s="39">
        <v>45797.0</v>
      </c>
      <c r="B67" s="4" t="s">
        <v>47</v>
      </c>
      <c r="C67" s="21">
        <v>20.63</v>
      </c>
      <c r="E67" s="19"/>
      <c r="F67" s="5"/>
      <c r="H67" s="19"/>
      <c r="Q67" s="5"/>
      <c r="R67" s="9"/>
    </row>
    <row r="68">
      <c r="A68" s="39">
        <v>45799.0</v>
      </c>
      <c r="B68" s="4" t="s">
        <v>229</v>
      </c>
      <c r="C68" s="21">
        <v>10.0</v>
      </c>
      <c r="E68" s="19"/>
      <c r="F68" s="5"/>
      <c r="H68" s="19"/>
      <c r="Q68" s="5"/>
      <c r="R68" s="9"/>
    </row>
    <row r="69">
      <c r="A69" s="39">
        <v>45799.0</v>
      </c>
      <c r="B69" s="4" t="s">
        <v>140</v>
      </c>
      <c r="C69" s="21">
        <v>19.21</v>
      </c>
      <c r="E69" s="19"/>
      <c r="F69" s="5"/>
      <c r="H69" s="19"/>
      <c r="Q69" s="5"/>
      <c r="R69" s="9"/>
    </row>
    <row r="70">
      <c r="A70" s="39">
        <v>45799.0</v>
      </c>
      <c r="B70" s="4" t="s">
        <v>62</v>
      </c>
      <c r="C70" s="21">
        <v>1.3</v>
      </c>
      <c r="E70" s="19"/>
      <c r="F70" s="5"/>
      <c r="H70" s="19"/>
      <c r="Q70" s="5"/>
      <c r="R70" s="9"/>
    </row>
    <row r="71">
      <c r="A71" s="39">
        <v>45799.0</v>
      </c>
      <c r="B71" s="4" t="s">
        <v>45</v>
      </c>
      <c r="C71" s="21">
        <f>15.75+21.9</f>
        <v>37.65</v>
      </c>
      <c r="E71" s="19"/>
      <c r="F71" s="5"/>
      <c r="H71" s="19"/>
      <c r="Q71" s="5"/>
      <c r="R71" s="9"/>
    </row>
    <row r="72">
      <c r="A72" s="39">
        <v>45799.0</v>
      </c>
      <c r="B72" s="4" t="s">
        <v>210</v>
      </c>
      <c r="C72" s="21">
        <v>44.0</v>
      </c>
      <c r="E72" s="19"/>
      <c r="F72" s="5"/>
      <c r="H72" s="19"/>
      <c r="Q72" s="5"/>
      <c r="R72" s="9"/>
    </row>
    <row r="73">
      <c r="A73" s="39">
        <v>45799.0</v>
      </c>
      <c r="B73" s="4" t="s">
        <v>127</v>
      </c>
      <c r="C73" s="21">
        <v>8.9</v>
      </c>
      <c r="E73" s="19"/>
      <c r="F73" s="5"/>
      <c r="H73" s="19"/>
      <c r="Q73" s="5"/>
      <c r="R73" s="9"/>
    </row>
    <row r="74">
      <c r="A74" s="39">
        <v>45800.0</v>
      </c>
      <c r="B74" s="4" t="s">
        <v>140</v>
      </c>
      <c r="C74" s="21">
        <v>12.45</v>
      </c>
      <c r="E74" s="19"/>
      <c r="F74" s="5"/>
      <c r="H74" s="19"/>
      <c r="Q74" s="5"/>
      <c r="R74" s="9"/>
    </row>
    <row r="75">
      <c r="A75" s="39">
        <v>45800.0</v>
      </c>
      <c r="B75" s="4" t="s">
        <v>45</v>
      </c>
      <c r="C75" s="21">
        <v>31.0</v>
      </c>
      <c r="E75" s="19"/>
      <c r="F75" s="5"/>
      <c r="H75" s="19"/>
      <c r="Q75" s="5"/>
      <c r="R75" s="9"/>
    </row>
    <row r="76">
      <c r="A76" s="39">
        <v>45800.0</v>
      </c>
      <c r="B76" s="4" t="s">
        <v>143</v>
      </c>
      <c r="C76" s="21">
        <v>18.75</v>
      </c>
      <c r="E76" s="19"/>
      <c r="F76" s="5"/>
      <c r="H76" s="19"/>
      <c r="Q76" s="5"/>
      <c r="R76" s="9"/>
    </row>
    <row r="77">
      <c r="A77" s="39">
        <v>45800.0</v>
      </c>
      <c r="B77" s="4" t="s">
        <v>210</v>
      </c>
      <c r="C77" s="4">
        <v>12.0</v>
      </c>
      <c r="E77" s="19"/>
      <c r="F77" s="5"/>
      <c r="H77" s="19"/>
      <c r="Q77" s="5"/>
      <c r="R77" s="9"/>
    </row>
    <row r="78">
      <c r="A78" s="39">
        <v>45801.0</v>
      </c>
      <c r="B78" s="4" t="s">
        <v>52</v>
      </c>
      <c r="C78" s="21">
        <v>17.84</v>
      </c>
      <c r="E78" s="19"/>
      <c r="F78" s="5"/>
      <c r="H78" s="19"/>
      <c r="Q78" s="5"/>
      <c r="R78" s="9"/>
    </row>
    <row r="79">
      <c r="A79" s="39">
        <v>45801.0</v>
      </c>
      <c r="B79" s="4" t="s">
        <v>168</v>
      </c>
      <c r="C79" s="21">
        <v>5.8</v>
      </c>
      <c r="E79" s="19"/>
      <c r="F79" s="5"/>
      <c r="H79" s="19"/>
      <c r="Q79" s="5"/>
      <c r="R79" s="9"/>
    </row>
    <row r="80">
      <c r="A80" s="39">
        <v>45802.0</v>
      </c>
      <c r="B80" s="4" t="s">
        <v>57</v>
      </c>
      <c r="C80" s="21">
        <v>2.09</v>
      </c>
      <c r="E80" s="19"/>
      <c r="F80" s="5"/>
      <c r="H80" s="19"/>
      <c r="Q80" s="5"/>
      <c r="R80" s="9"/>
    </row>
    <row r="81">
      <c r="A81" s="39">
        <v>45802.0</v>
      </c>
      <c r="B81" s="4" t="s">
        <v>57</v>
      </c>
      <c r="C81" s="21">
        <v>8.85</v>
      </c>
      <c r="E81" s="19"/>
      <c r="F81" s="5"/>
      <c r="H81" s="19"/>
      <c r="Q81" s="5"/>
      <c r="R81" s="9"/>
    </row>
    <row r="82">
      <c r="A82" s="39">
        <v>45802.0</v>
      </c>
      <c r="B82" s="4" t="s">
        <v>127</v>
      </c>
      <c r="C82" s="21">
        <v>2.0</v>
      </c>
      <c r="E82" s="19"/>
      <c r="F82" s="5"/>
      <c r="H82" s="19"/>
      <c r="Q82" s="5"/>
      <c r="R82" s="9"/>
    </row>
    <row r="83">
      <c r="A83" s="39">
        <v>45803.0</v>
      </c>
      <c r="B83" s="4" t="s">
        <v>127</v>
      </c>
      <c r="C83" s="21">
        <v>2.9</v>
      </c>
      <c r="E83" s="19"/>
      <c r="F83" s="5"/>
      <c r="H83" s="19"/>
      <c r="Q83" s="5"/>
      <c r="R83" s="9"/>
    </row>
    <row r="84">
      <c r="A84" s="39">
        <v>45803.0</v>
      </c>
      <c r="B84" s="4" t="s">
        <v>230</v>
      </c>
      <c r="C84" s="21">
        <v>35.99</v>
      </c>
      <c r="E84" s="19"/>
      <c r="F84" s="5"/>
      <c r="H84" s="19"/>
      <c r="Q84" s="5"/>
      <c r="R84" s="9"/>
    </row>
    <row r="85">
      <c r="A85" s="39">
        <v>45805.0</v>
      </c>
      <c r="B85" s="4" t="s">
        <v>124</v>
      </c>
      <c r="C85" s="21">
        <v>9.0</v>
      </c>
      <c r="E85" s="19"/>
      <c r="F85" s="5"/>
      <c r="H85" s="19"/>
      <c r="Q85" s="5"/>
      <c r="R85" s="9"/>
    </row>
    <row r="86">
      <c r="A86" s="39">
        <v>45805.0</v>
      </c>
      <c r="B86" s="4" t="s">
        <v>231</v>
      </c>
      <c r="C86" s="21">
        <v>15.0</v>
      </c>
      <c r="E86" s="19"/>
      <c r="F86" s="5"/>
      <c r="H86" s="19"/>
      <c r="Q86" s="5"/>
      <c r="R86" s="9"/>
    </row>
    <row r="87">
      <c r="A87" s="39">
        <v>45805.0</v>
      </c>
      <c r="B87" s="4" t="s">
        <v>69</v>
      </c>
      <c r="C87" s="21">
        <v>23.0</v>
      </c>
      <c r="E87" s="19"/>
      <c r="F87" s="5"/>
      <c r="H87" s="19"/>
      <c r="Q87" s="5"/>
      <c r="R87" s="9"/>
    </row>
    <row r="88">
      <c r="A88" s="39">
        <v>45806.0</v>
      </c>
      <c r="B88" s="4" t="s">
        <v>73</v>
      </c>
      <c r="C88" s="21">
        <v>10.96</v>
      </c>
      <c r="E88" s="19"/>
      <c r="F88" s="5"/>
      <c r="H88" s="19"/>
      <c r="Q88" s="5"/>
      <c r="R88" s="9"/>
    </row>
    <row r="89">
      <c r="A89" s="39">
        <v>45806.0</v>
      </c>
      <c r="B89" s="4" t="s">
        <v>66</v>
      </c>
      <c r="C89" s="21">
        <v>5.75</v>
      </c>
      <c r="E89" s="19"/>
      <c r="F89" s="5"/>
      <c r="H89" s="19"/>
      <c r="Q89" s="5"/>
      <c r="R89" s="9"/>
    </row>
    <row r="90">
      <c r="A90" s="39">
        <v>45806.0</v>
      </c>
      <c r="B90" s="4" t="s">
        <v>207</v>
      </c>
      <c r="C90" s="21">
        <v>39.8</v>
      </c>
      <c r="E90" s="19"/>
      <c r="F90" s="5"/>
      <c r="H90" s="19"/>
      <c r="Q90" s="5"/>
      <c r="R90" s="9"/>
    </row>
    <row r="91">
      <c r="A91" s="39">
        <v>45807.0</v>
      </c>
      <c r="B91" s="4" t="s">
        <v>47</v>
      </c>
      <c r="C91" s="21">
        <v>22.34</v>
      </c>
      <c r="E91" s="19"/>
      <c r="F91" s="5"/>
      <c r="H91" s="19"/>
      <c r="Q91" s="5"/>
      <c r="R91" s="9"/>
    </row>
    <row r="92">
      <c r="A92" s="39">
        <v>45807.0</v>
      </c>
      <c r="B92" s="4" t="s">
        <v>168</v>
      </c>
      <c r="C92" s="21">
        <v>2.9</v>
      </c>
      <c r="E92" s="19"/>
      <c r="F92" s="5"/>
      <c r="H92" s="19"/>
      <c r="Q92" s="5"/>
      <c r="R92" s="9"/>
    </row>
    <row r="93">
      <c r="A93" s="39">
        <v>45808.0</v>
      </c>
      <c r="B93" s="4" t="s">
        <v>73</v>
      </c>
      <c r="C93" s="21">
        <v>31.0</v>
      </c>
      <c r="E93" s="19"/>
      <c r="F93" s="5"/>
      <c r="H93" s="19"/>
      <c r="Q93" s="5"/>
      <c r="R93" s="9"/>
    </row>
    <row r="94">
      <c r="A94" s="39">
        <v>45808.0</v>
      </c>
      <c r="B94" s="4" t="s">
        <v>45</v>
      </c>
      <c r="C94" s="21">
        <f>5.4+3.49+20.4+6+4.09</f>
        <v>39.38</v>
      </c>
      <c r="E94" s="19"/>
      <c r="F94" s="5"/>
      <c r="H94" s="19"/>
      <c r="Q94" s="5"/>
      <c r="R94" s="9"/>
    </row>
    <row r="95">
      <c r="A95" s="39">
        <v>45808.0</v>
      </c>
      <c r="B95" s="4" t="s">
        <v>210</v>
      </c>
      <c r="C95" s="21">
        <v>25.0</v>
      </c>
      <c r="E95" s="19"/>
      <c r="F95" s="5"/>
      <c r="H95" s="19"/>
      <c r="Q95" s="5"/>
      <c r="R95" s="9"/>
    </row>
    <row r="96">
      <c r="A96" s="39">
        <v>45808.0</v>
      </c>
      <c r="B96" s="4" t="s">
        <v>232</v>
      </c>
      <c r="C96" s="21">
        <v>54.99</v>
      </c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SUMPRODUCT(--ISNUMBER(SEARCH($E$1:$E$14, B1))) &gt; 0</formula>
    </cfRule>
  </conditionalFormatting>
  <conditionalFormatting sqref="B1:B999">
    <cfRule type="expression" dxfId="2" priority="2">
      <formula>COUNTIF($H$2:$H$3, B1) &gt; 0</formula>
    </cfRule>
  </conditionalFormatting>
  <conditionalFormatting sqref="V2">
    <cfRule type="cellIs" dxfId="2" priority="3" operator="greaterThan">
      <formula>0</formula>
    </cfRule>
  </conditionalFormatting>
  <conditionalFormatting sqref="V2">
    <cfRule type="cellIs" dxfId="3" priority="4" operator="lessThan">
      <formula>0</formula>
    </cfRule>
  </conditionalFormatting>
  <conditionalFormatting sqref="N1 N33">
    <cfRule type="timePeriod" dxfId="4" priority="5" timePeriod="today"/>
  </conditionalFormatting>
  <conditionalFormatting sqref="N1 N33:N999">
    <cfRule type="timePeriod" dxfId="5" priority="6" timePeriod="today"/>
  </conditionalFormatting>
  <conditionalFormatting sqref="O1:O999 Q1:Q999">
    <cfRule type="cellIs" dxfId="0" priority="7" operator="lessThan">
      <formula>25</formula>
    </cfRule>
  </conditionalFormatting>
  <conditionalFormatting sqref="O1:O999 Q1:Q999">
    <cfRule type="cellIs" dxfId="6" priority="8" operator="lessThan">
      <formula>35</formula>
    </cfRule>
  </conditionalFormatting>
  <conditionalFormatting sqref="O1:O999 Q1:Q999">
    <cfRule type="cellIs" dxfId="1" priority="9" operator="greaterThanOrEqual">
      <formula>35</formula>
    </cfRule>
  </conditionalFormatting>
  <conditionalFormatting sqref="I1">
    <cfRule type="cellIs" dxfId="1" priority="10" operator="lessThan">
      <formula>0</formula>
    </cfRule>
  </conditionalFormatting>
  <conditionalFormatting sqref="I1">
    <cfRule type="cellIs" dxfId="0" priority="11" operator="greaterThan">
      <formula>0</formula>
    </cfRule>
  </conditionalFormatting>
  <conditionalFormatting sqref="B1:B999 E24:E30">
    <cfRule type="expression" dxfId="2" priority="12">
      <formula>COUNTIF($E$1:$E$999, B1) &gt; 0</formula>
    </cfRule>
  </conditionalFormatting>
  <conditionalFormatting sqref="B1:B999 E24:E30">
    <cfRule type="expression" dxfId="2" priority="13">
      <formula>COUNTIF($K$1:$K$999, B1) &gt; 0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5" si="1">SUMIF(B:B,"*"&amp;E1&amp;"*",C:C)</f>
        <v>226.25</v>
      </c>
      <c r="H1" s="1" t="s">
        <v>46</v>
      </c>
      <c r="I1" s="5">
        <f>I6-I7</f>
        <v>-141.26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97.95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" t="s">
        <v>233</v>
      </c>
      <c r="U1" s="1" t="s">
        <v>234</v>
      </c>
      <c r="V1" s="1" t="s">
        <v>235</v>
      </c>
      <c r="W1" s="19"/>
      <c r="X1" s="19"/>
      <c r="Y1" s="19"/>
      <c r="Z1" s="19"/>
    </row>
    <row r="2">
      <c r="A2" s="39">
        <v>45748.0</v>
      </c>
      <c r="B2" s="4" t="s">
        <v>8</v>
      </c>
      <c r="C2" s="21">
        <v>1200.0</v>
      </c>
      <c r="E2" s="1" t="s">
        <v>52</v>
      </c>
      <c r="F2" s="5">
        <f t="shared" si="1"/>
        <v>83.8</v>
      </c>
      <c r="H2" s="1" t="s">
        <v>6</v>
      </c>
      <c r="I2" s="5">
        <f>SUMIF(B:B,H2,C:C)</f>
        <v>0</v>
      </c>
      <c r="K2" s="1" t="s">
        <v>53</v>
      </c>
      <c r="L2" s="5">
        <f t="shared" si="2"/>
        <v>0</v>
      </c>
      <c r="N2" s="39">
        <v>45748.0</v>
      </c>
      <c r="O2" s="5">
        <f>sumif(A:A,N2,C:C)-sum(C2:C3)-C8</f>
        <v>45.27</v>
      </c>
      <c r="P2" s="5">
        <f>SUM(O2)</f>
        <v>45.27</v>
      </c>
      <c r="Q2" s="5">
        <f t="shared" ref="Q2:Q31" si="3">P2/(ROW()-1)</f>
        <v>45.27</v>
      </c>
      <c r="R2" s="9">
        <f t="shared" ref="R2:R31" si="4">count(N:N)*Q2</f>
        <v>1358.1</v>
      </c>
      <c r="T2" s="9" t="str">
        <f>IFERROR(__xludf.DUMMYFUNCTION("(I1+(FILTER(O:O,N:N=TODAY()-1)))/(COUNTIF(N:N, ""&gt;="" &amp; TODAY())+1)"),"#N/A")</f>
        <v>#N/A</v>
      </c>
      <c r="U2" s="9" t="str">
        <f>I1/COUNTIF(N:N, "&gt;=" &amp; TODAY())</f>
        <v>#DIV/0!</v>
      </c>
      <c r="V2" s="40" t="str">
        <f>U2-T2</f>
        <v>#DIV/0!</v>
      </c>
    </row>
    <row r="3">
      <c r="A3" s="39">
        <v>45748.0</v>
      </c>
      <c r="B3" s="4" t="s">
        <v>54</v>
      </c>
      <c r="C3" s="41">
        <f>850+32.74+10+116.1</f>
        <v>1008.84</v>
      </c>
      <c r="E3" s="1" t="s">
        <v>209</v>
      </c>
      <c r="F3" s="5">
        <f t="shared" si="1"/>
        <v>0</v>
      </c>
      <c r="H3" s="1" t="s">
        <v>8</v>
      </c>
      <c r="I3" s="5">
        <f>SUMIF(B:B,H3,C:C)+I1</f>
        <v>1058.74</v>
      </c>
      <c r="K3" s="1" t="s">
        <v>56</v>
      </c>
      <c r="L3" s="5">
        <f t="shared" si="2"/>
        <v>0.8</v>
      </c>
      <c r="N3" s="39">
        <v>45749.0</v>
      </c>
      <c r="O3" s="40">
        <f t="shared" ref="O3:O31" si="5">sumif(A:A,N3,C:C)</f>
        <v>63.93</v>
      </c>
      <c r="P3" s="5">
        <f t="shared" ref="P3:P31" si="6">P2+O3</f>
        <v>109.2</v>
      </c>
      <c r="Q3" s="5">
        <f t="shared" si="3"/>
        <v>54.6</v>
      </c>
      <c r="R3" s="9">
        <f t="shared" si="4"/>
        <v>1638</v>
      </c>
    </row>
    <row r="4">
      <c r="A4" s="39">
        <v>45748.0</v>
      </c>
      <c r="B4" s="4" t="s">
        <v>6</v>
      </c>
      <c r="C4" s="4">
        <v>0.0</v>
      </c>
      <c r="E4" s="1" t="s">
        <v>140</v>
      </c>
      <c r="F4" s="5">
        <f t="shared" si="1"/>
        <v>60.27</v>
      </c>
      <c r="H4" s="1" t="s">
        <v>58</v>
      </c>
      <c r="I4" s="5">
        <f>I2+I3</f>
        <v>1058.74</v>
      </c>
      <c r="K4" s="1" t="s">
        <v>59</v>
      </c>
      <c r="L4" s="5">
        <f t="shared" si="2"/>
        <v>0</v>
      </c>
      <c r="N4" s="39">
        <v>45750.0</v>
      </c>
      <c r="O4" s="40">
        <f t="shared" si="5"/>
        <v>54.73</v>
      </c>
      <c r="P4" s="5">
        <f t="shared" si="6"/>
        <v>163.93</v>
      </c>
      <c r="Q4" s="5">
        <f t="shared" si="3"/>
        <v>54.64333333</v>
      </c>
      <c r="R4" s="9">
        <f t="shared" si="4"/>
        <v>1639.3</v>
      </c>
    </row>
    <row r="5">
      <c r="A5" s="39">
        <v>45748.0</v>
      </c>
      <c r="B5" s="4" t="s">
        <v>63</v>
      </c>
      <c r="C5" s="21">
        <v>7.0</v>
      </c>
      <c r="E5" s="1" t="s">
        <v>210</v>
      </c>
      <c r="F5" s="5">
        <f t="shared" si="1"/>
        <v>101.97</v>
      </c>
      <c r="K5" s="1" t="s">
        <v>62</v>
      </c>
      <c r="L5" s="5">
        <f t="shared" si="2"/>
        <v>21.15</v>
      </c>
      <c r="N5" s="39">
        <v>45751.0</v>
      </c>
      <c r="O5" s="40">
        <f t="shared" si="5"/>
        <v>54.73</v>
      </c>
      <c r="P5" s="5">
        <f t="shared" si="6"/>
        <v>218.66</v>
      </c>
      <c r="Q5" s="5">
        <f t="shared" si="3"/>
        <v>54.665</v>
      </c>
      <c r="R5" s="9">
        <f t="shared" si="4"/>
        <v>1639.95</v>
      </c>
    </row>
    <row r="6">
      <c r="A6" s="39">
        <v>45748.0</v>
      </c>
      <c r="B6" s="4" t="s">
        <v>67</v>
      </c>
      <c r="C6" s="12">
        <v>21.99</v>
      </c>
      <c r="E6" s="1" t="s">
        <v>57</v>
      </c>
      <c r="F6" s="5">
        <f>SUMIF(B:B,"*"&amp;E6&amp;"*",C:C)+SUM(L1:L7)</f>
        <v>234.96</v>
      </c>
      <c r="H6" s="1" t="s">
        <v>65</v>
      </c>
      <c r="I6" s="21">
        <v>3241.43</v>
      </c>
      <c r="K6" s="1" t="s">
        <v>66</v>
      </c>
      <c r="L6" s="5">
        <f t="shared" si="2"/>
        <v>54.5</v>
      </c>
      <c r="N6" s="39">
        <v>45752.0</v>
      </c>
      <c r="O6" s="40">
        <f t="shared" si="5"/>
        <v>67.68</v>
      </c>
      <c r="P6" s="5">
        <f t="shared" si="6"/>
        <v>286.34</v>
      </c>
      <c r="Q6" s="5">
        <f t="shared" si="3"/>
        <v>57.268</v>
      </c>
      <c r="R6" s="9">
        <f t="shared" si="4"/>
        <v>1718.04</v>
      </c>
    </row>
    <row r="7">
      <c r="A7" s="39">
        <v>45748.0</v>
      </c>
      <c r="B7" s="4" t="s">
        <v>183</v>
      </c>
      <c r="C7" s="21">
        <f>99/12</f>
        <v>8.25</v>
      </c>
      <c r="E7" s="42" t="s">
        <v>61</v>
      </c>
      <c r="F7" s="5">
        <f t="shared" ref="F7:F14" si="7">SUMIF(B:B,"*"&amp;E7&amp;"*",C:C)</f>
        <v>42.63</v>
      </c>
      <c r="H7" s="1" t="s">
        <v>68</v>
      </c>
      <c r="I7" s="5">
        <f>sum(C:C)</f>
        <v>3382.69</v>
      </c>
      <c r="K7" s="1" t="s">
        <v>69</v>
      </c>
      <c r="L7" s="5">
        <f t="shared" si="2"/>
        <v>40.42</v>
      </c>
      <c r="N7" s="39">
        <v>45753.0</v>
      </c>
      <c r="O7" s="40">
        <f t="shared" si="5"/>
        <v>48.22</v>
      </c>
      <c r="P7" s="5">
        <f t="shared" si="6"/>
        <v>334.56</v>
      </c>
      <c r="Q7" s="5">
        <f t="shared" si="3"/>
        <v>55.76</v>
      </c>
      <c r="R7" s="9">
        <f t="shared" si="4"/>
        <v>1672.8</v>
      </c>
    </row>
    <row r="8">
      <c r="A8" s="39">
        <v>45748.0</v>
      </c>
      <c r="B8" s="4" t="s">
        <v>236</v>
      </c>
      <c r="C8" s="21">
        <f>56+55</f>
        <v>111</v>
      </c>
      <c r="E8" s="1" t="s">
        <v>64</v>
      </c>
      <c r="F8" s="5">
        <f t="shared" si="7"/>
        <v>107.87</v>
      </c>
      <c r="H8" s="1" t="s">
        <v>72</v>
      </c>
      <c r="I8" s="5">
        <f>sum(F:F)+I2+C2</f>
        <v>3309.11</v>
      </c>
      <c r="N8" s="39">
        <v>45754.0</v>
      </c>
      <c r="O8" s="40">
        <f t="shared" si="5"/>
        <v>15.05</v>
      </c>
      <c r="P8" s="5">
        <f t="shared" si="6"/>
        <v>349.61</v>
      </c>
      <c r="Q8" s="5">
        <f t="shared" si="3"/>
        <v>49.94428571</v>
      </c>
      <c r="R8" s="9">
        <f t="shared" si="4"/>
        <v>1498.328571</v>
      </c>
    </row>
    <row r="9">
      <c r="A9" s="39">
        <v>45748.0</v>
      </c>
      <c r="B9" s="4" t="s">
        <v>47</v>
      </c>
      <c r="C9" s="21">
        <f>5.59+2.44</f>
        <v>8.03</v>
      </c>
      <c r="E9" s="1" t="s">
        <v>54</v>
      </c>
      <c r="F9" s="5">
        <f t="shared" si="7"/>
        <v>1015.84</v>
      </c>
      <c r="H9" s="1" t="s">
        <v>74</v>
      </c>
      <c r="I9" s="5">
        <f>I7-I8</f>
        <v>73.58</v>
      </c>
      <c r="N9" s="39">
        <v>45755.0</v>
      </c>
      <c r="O9" s="40">
        <f t="shared" si="5"/>
        <v>0</v>
      </c>
      <c r="P9" s="5">
        <f t="shared" si="6"/>
        <v>349.61</v>
      </c>
      <c r="Q9" s="5">
        <f t="shared" si="3"/>
        <v>43.70125</v>
      </c>
      <c r="R9" s="9">
        <f t="shared" si="4"/>
        <v>1311.0375</v>
      </c>
    </row>
    <row r="10">
      <c r="A10" s="39">
        <v>45749.0</v>
      </c>
      <c r="B10" s="4" t="s">
        <v>217</v>
      </c>
      <c r="C10" s="21">
        <v>29.33</v>
      </c>
      <c r="E10" s="1" t="s">
        <v>127</v>
      </c>
      <c r="F10" s="5">
        <f t="shared" si="7"/>
        <v>39</v>
      </c>
      <c r="N10" s="39">
        <v>45756.0</v>
      </c>
      <c r="O10" s="40">
        <f t="shared" si="5"/>
        <v>35.71</v>
      </c>
      <c r="P10" s="5">
        <f t="shared" si="6"/>
        <v>385.32</v>
      </c>
      <c r="Q10" s="5">
        <f t="shared" si="3"/>
        <v>42.81333333</v>
      </c>
      <c r="R10" s="9">
        <f t="shared" si="4"/>
        <v>1284.4</v>
      </c>
    </row>
    <row r="11">
      <c r="A11" s="39">
        <v>45749.0</v>
      </c>
      <c r="B11" s="4" t="s">
        <v>131</v>
      </c>
      <c r="C11" s="21">
        <v>7.25</v>
      </c>
      <c r="E11" s="1" t="s">
        <v>73</v>
      </c>
      <c r="F11" s="5">
        <f t="shared" si="7"/>
        <v>13.11</v>
      </c>
      <c r="H11" s="1" t="s">
        <v>3</v>
      </c>
      <c r="I11" s="28">
        <f>I4/I6</f>
        <v>0.3266274453</v>
      </c>
      <c r="N11" s="39">
        <v>45757.0</v>
      </c>
      <c r="O11" s="40">
        <f t="shared" si="5"/>
        <v>23.39</v>
      </c>
      <c r="P11" s="5">
        <f t="shared" si="6"/>
        <v>408.71</v>
      </c>
      <c r="Q11" s="5">
        <f t="shared" si="3"/>
        <v>40.871</v>
      </c>
      <c r="R11" s="9">
        <f t="shared" si="4"/>
        <v>1226.13</v>
      </c>
    </row>
    <row r="12">
      <c r="A12" s="39">
        <v>45749.0</v>
      </c>
      <c r="B12" s="4" t="s">
        <v>57</v>
      </c>
      <c r="C12" s="21">
        <v>4.35</v>
      </c>
      <c r="E12" s="1" t="s">
        <v>75</v>
      </c>
      <c r="F12" s="5">
        <f t="shared" si="7"/>
        <v>61.99</v>
      </c>
      <c r="N12" s="39">
        <v>45758.0</v>
      </c>
      <c r="O12" s="40">
        <f t="shared" si="5"/>
        <v>117.35</v>
      </c>
      <c r="P12" s="5">
        <f t="shared" si="6"/>
        <v>526.06</v>
      </c>
      <c r="Q12" s="5">
        <f t="shared" si="3"/>
        <v>47.82363636</v>
      </c>
      <c r="R12" s="9">
        <f t="shared" si="4"/>
        <v>1434.709091</v>
      </c>
    </row>
    <row r="13">
      <c r="A13" s="39">
        <v>45749.0</v>
      </c>
      <c r="B13" s="4" t="s">
        <v>237</v>
      </c>
      <c r="C13" s="21">
        <v>2.0</v>
      </c>
      <c r="E13" s="1" t="s">
        <v>76</v>
      </c>
      <c r="F13" s="5">
        <f t="shared" si="7"/>
        <v>10.42</v>
      </c>
      <c r="N13" s="39">
        <v>45759.0</v>
      </c>
      <c r="O13" s="40">
        <f t="shared" si="5"/>
        <v>47.9</v>
      </c>
      <c r="P13" s="5">
        <f t="shared" si="6"/>
        <v>573.96</v>
      </c>
      <c r="Q13" s="5">
        <f t="shared" si="3"/>
        <v>47.83</v>
      </c>
      <c r="R13" s="9">
        <f t="shared" si="4"/>
        <v>1434.9</v>
      </c>
    </row>
    <row r="14">
      <c r="A14" s="39">
        <v>45749.0</v>
      </c>
      <c r="B14" s="4" t="s">
        <v>210</v>
      </c>
      <c r="C14" s="21">
        <v>21.0</v>
      </c>
      <c r="E14" s="1" t="s">
        <v>77</v>
      </c>
      <c r="F14" s="5">
        <f t="shared" si="7"/>
        <v>111</v>
      </c>
      <c r="H14" s="19"/>
      <c r="N14" s="39">
        <v>45760.0</v>
      </c>
      <c r="O14" s="40">
        <f t="shared" si="5"/>
        <v>1.1</v>
      </c>
      <c r="P14" s="5">
        <f t="shared" si="6"/>
        <v>575.06</v>
      </c>
      <c r="Q14" s="5">
        <f t="shared" si="3"/>
        <v>44.23538462</v>
      </c>
      <c r="R14" s="9">
        <f t="shared" si="4"/>
        <v>1327.061538</v>
      </c>
    </row>
    <row r="15">
      <c r="A15" s="39">
        <v>45750.0</v>
      </c>
      <c r="B15" s="4" t="s">
        <v>62</v>
      </c>
      <c r="C15" s="21">
        <v>3.35</v>
      </c>
      <c r="E15" s="1"/>
      <c r="H15" s="1" t="s">
        <v>55</v>
      </c>
      <c r="I15" s="5">
        <f>sum(F2:F5)+F13</f>
        <v>256.46</v>
      </c>
      <c r="N15" s="39">
        <v>45761.0</v>
      </c>
      <c r="O15" s="40">
        <f t="shared" si="5"/>
        <v>0</v>
      </c>
      <c r="P15" s="5">
        <f t="shared" si="6"/>
        <v>575.06</v>
      </c>
      <c r="Q15" s="5">
        <f t="shared" si="3"/>
        <v>41.07571429</v>
      </c>
      <c r="R15" s="9">
        <f t="shared" si="4"/>
        <v>1232.271429</v>
      </c>
    </row>
    <row r="16">
      <c r="A16" s="39">
        <v>45750.0</v>
      </c>
      <c r="B16" s="4" t="s">
        <v>76</v>
      </c>
      <c r="C16" s="21">
        <v>0.99</v>
      </c>
      <c r="H16" s="19"/>
      <c r="N16" s="39">
        <v>45762.0</v>
      </c>
      <c r="O16" s="40">
        <f t="shared" si="5"/>
        <v>39.41</v>
      </c>
      <c r="P16" s="5">
        <f t="shared" si="6"/>
        <v>614.47</v>
      </c>
      <c r="Q16" s="5">
        <f t="shared" si="3"/>
        <v>40.96466667</v>
      </c>
      <c r="R16" s="9">
        <f t="shared" si="4"/>
        <v>1228.94</v>
      </c>
    </row>
    <row r="17">
      <c r="A17" s="39">
        <v>45750.0</v>
      </c>
      <c r="B17" s="4" t="s">
        <v>140</v>
      </c>
      <c r="C17" s="21">
        <v>12.0</v>
      </c>
      <c r="H17" s="19"/>
      <c r="N17" s="39">
        <v>45763.0</v>
      </c>
      <c r="O17" s="40">
        <f t="shared" si="5"/>
        <v>31.28</v>
      </c>
      <c r="P17" s="5">
        <f t="shared" si="6"/>
        <v>645.75</v>
      </c>
      <c r="Q17" s="5">
        <f t="shared" si="3"/>
        <v>40.359375</v>
      </c>
      <c r="R17" s="9">
        <f t="shared" si="4"/>
        <v>1210.78125</v>
      </c>
    </row>
    <row r="18">
      <c r="A18" s="39">
        <v>45750.0</v>
      </c>
      <c r="B18" s="4" t="s">
        <v>127</v>
      </c>
      <c r="C18" s="21">
        <v>5.8</v>
      </c>
      <c r="H18" s="19"/>
      <c r="N18" s="39">
        <v>45764.0</v>
      </c>
      <c r="O18" s="40">
        <f t="shared" si="5"/>
        <v>38.48</v>
      </c>
      <c r="P18" s="5">
        <f t="shared" si="6"/>
        <v>684.23</v>
      </c>
      <c r="Q18" s="5">
        <f t="shared" si="3"/>
        <v>40.24882353</v>
      </c>
      <c r="R18" s="9">
        <f t="shared" si="4"/>
        <v>1207.464706</v>
      </c>
    </row>
    <row r="19">
      <c r="A19" s="39">
        <v>45750.0</v>
      </c>
      <c r="B19" s="4" t="s">
        <v>45</v>
      </c>
      <c r="C19" s="21">
        <f>14+6.6+5+6.99</f>
        <v>32.59</v>
      </c>
      <c r="H19" s="19"/>
      <c r="N19" s="39">
        <v>45765.0</v>
      </c>
      <c r="O19" s="40">
        <f t="shared" si="5"/>
        <v>103.08</v>
      </c>
      <c r="P19" s="5">
        <f t="shared" si="6"/>
        <v>787.31</v>
      </c>
      <c r="Q19" s="5">
        <f t="shared" si="3"/>
        <v>43.73944444</v>
      </c>
      <c r="R19" s="9">
        <f t="shared" si="4"/>
        <v>1312.183333</v>
      </c>
    </row>
    <row r="20">
      <c r="A20" s="39">
        <v>45751.0</v>
      </c>
      <c r="B20" s="4" t="s">
        <v>238</v>
      </c>
      <c r="C20" s="21">
        <v>22.25</v>
      </c>
      <c r="H20" s="19"/>
      <c r="N20" s="39">
        <v>45766.0</v>
      </c>
      <c r="O20" s="40">
        <f t="shared" si="5"/>
        <v>39.33</v>
      </c>
      <c r="P20" s="5">
        <f t="shared" si="6"/>
        <v>826.64</v>
      </c>
      <c r="Q20" s="5">
        <f t="shared" si="3"/>
        <v>43.50736842</v>
      </c>
      <c r="R20" s="9">
        <f t="shared" si="4"/>
        <v>1305.221053</v>
      </c>
    </row>
    <row r="21">
      <c r="A21" s="39">
        <v>45751.0</v>
      </c>
      <c r="B21" s="4" t="s">
        <v>127</v>
      </c>
      <c r="C21" s="21">
        <v>7.0</v>
      </c>
      <c r="E21" s="19"/>
      <c r="F21" s="5"/>
      <c r="H21" s="19"/>
      <c r="N21" s="39">
        <v>45767.0</v>
      </c>
      <c r="O21" s="40">
        <f t="shared" si="5"/>
        <v>1.24</v>
      </c>
      <c r="P21" s="5">
        <f t="shared" si="6"/>
        <v>827.88</v>
      </c>
      <c r="Q21" s="5">
        <f t="shared" si="3"/>
        <v>41.394</v>
      </c>
      <c r="R21" s="9">
        <f t="shared" si="4"/>
        <v>1241.82</v>
      </c>
    </row>
    <row r="22">
      <c r="A22" s="39">
        <v>45751.0</v>
      </c>
      <c r="B22" s="4" t="s">
        <v>66</v>
      </c>
      <c r="C22" s="21">
        <v>6.5</v>
      </c>
      <c r="E22" s="19"/>
      <c r="F22" s="5"/>
      <c r="H22" s="19"/>
      <c r="N22" s="39">
        <v>45768.0</v>
      </c>
      <c r="O22" s="40">
        <f t="shared" si="5"/>
        <v>14.15</v>
      </c>
      <c r="P22" s="5">
        <f t="shared" si="6"/>
        <v>842.03</v>
      </c>
      <c r="Q22" s="5">
        <f t="shared" si="3"/>
        <v>40.09666667</v>
      </c>
      <c r="R22" s="9">
        <f t="shared" si="4"/>
        <v>1202.9</v>
      </c>
    </row>
    <row r="23">
      <c r="A23" s="39">
        <v>45751.0</v>
      </c>
      <c r="B23" s="4" t="s">
        <v>239</v>
      </c>
      <c r="C23" s="4">
        <v>18.98</v>
      </c>
      <c r="E23" s="19"/>
      <c r="F23" s="5"/>
      <c r="H23" s="19"/>
      <c r="N23" s="39">
        <v>45769.0</v>
      </c>
      <c r="O23" s="40">
        <f t="shared" si="5"/>
        <v>9.95</v>
      </c>
      <c r="P23" s="5">
        <f t="shared" si="6"/>
        <v>851.98</v>
      </c>
      <c r="Q23" s="5">
        <f t="shared" si="3"/>
        <v>38.72636364</v>
      </c>
      <c r="R23" s="9">
        <f t="shared" si="4"/>
        <v>1161.790909</v>
      </c>
    </row>
    <row r="24">
      <c r="A24" s="39">
        <v>45752.0</v>
      </c>
      <c r="B24" s="4" t="s">
        <v>45</v>
      </c>
      <c r="C24" s="21">
        <f>6.8+20.4+9.99+18+6</f>
        <v>61.19</v>
      </c>
      <c r="F24" s="5"/>
      <c r="H24" s="19"/>
      <c r="N24" s="39">
        <v>45770.0</v>
      </c>
      <c r="O24" s="40">
        <f t="shared" si="5"/>
        <v>11.15</v>
      </c>
      <c r="P24" s="5">
        <f t="shared" si="6"/>
        <v>863.13</v>
      </c>
      <c r="Q24" s="5">
        <f t="shared" si="3"/>
        <v>37.5273913</v>
      </c>
      <c r="R24" s="9">
        <f t="shared" si="4"/>
        <v>1125.821739</v>
      </c>
    </row>
    <row r="25">
      <c r="A25" s="39">
        <v>45752.0</v>
      </c>
      <c r="B25" s="4" t="s">
        <v>210</v>
      </c>
      <c r="C25" s="21">
        <v>6.49</v>
      </c>
      <c r="F25" s="5"/>
      <c r="H25" s="19"/>
      <c r="N25" s="39">
        <v>45771.0</v>
      </c>
      <c r="O25" s="40">
        <f t="shared" si="5"/>
        <v>55.55</v>
      </c>
      <c r="P25" s="5">
        <f t="shared" si="6"/>
        <v>918.68</v>
      </c>
      <c r="Q25" s="5">
        <f t="shared" si="3"/>
        <v>38.27833333</v>
      </c>
      <c r="R25" s="9">
        <f t="shared" si="4"/>
        <v>1148.35</v>
      </c>
    </row>
    <row r="26">
      <c r="A26" s="39">
        <v>45753.0</v>
      </c>
      <c r="B26" s="4" t="s">
        <v>73</v>
      </c>
      <c r="C26" s="21">
        <v>13.11</v>
      </c>
      <c r="F26" s="5"/>
      <c r="H26" s="19"/>
      <c r="N26" s="39">
        <v>45772.0</v>
      </c>
      <c r="O26" s="40">
        <f t="shared" si="5"/>
        <v>49.44</v>
      </c>
      <c r="P26" s="5">
        <f t="shared" si="6"/>
        <v>968.12</v>
      </c>
      <c r="Q26" s="5">
        <f t="shared" si="3"/>
        <v>38.7248</v>
      </c>
      <c r="R26" s="9">
        <f t="shared" si="4"/>
        <v>1161.744</v>
      </c>
    </row>
    <row r="27">
      <c r="A27" s="39">
        <v>45753.0</v>
      </c>
      <c r="B27" s="4" t="s">
        <v>52</v>
      </c>
      <c r="C27" s="21">
        <v>21.46</v>
      </c>
      <c r="F27" s="5"/>
      <c r="H27" s="19"/>
      <c r="N27" s="39">
        <v>45773.0</v>
      </c>
      <c r="O27" s="40">
        <f t="shared" si="5"/>
        <v>37.36</v>
      </c>
      <c r="P27" s="5">
        <f t="shared" si="6"/>
        <v>1005.48</v>
      </c>
      <c r="Q27" s="5">
        <f t="shared" si="3"/>
        <v>38.67230769</v>
      </c>
      <c r="R27" s="9">
        <f t="shared" si="4"/>
        <v>1160.169231</v>
      </c>
    </row>
    <row r="28">
      <c r="A28" s="39">
        <v>45753.0</v>
      </c>
      <c r="B28" s="4" t="s">
        <v>240</v>
      </c>
      <c r="C28" s="21">
        <v>13.65</v>
      </c>
      <c r="F28" s="5"/>
      <c r="H28" s="19"/>
      <c r="N28" s="39">
        <v>45774.0</v>
      </c>
      <c r="O28" s="40">
        <f t="shared" si="5"/>
        <v>18.71</v>
      </c>
      <c r="P28" s="5">
        <f t="shared" si="6"/>
        <v>1024.19</v>
      </c>
      <c r="Q28" s="5">
        <f t="shared" si="3"/>
        <v>37.93296296</v>
      </c>
      <c r="R28" s="9">
        <f t="shared" si="4"/>
        <v>1137.988889</v>
      </c>
    </row>
    <row r="29">
      <c r="A29" s="39">
        <v>45754.0</v>
      </c>
      <c r="B29" s="4" t="s">
        <v>66</v>
      </c>
      <c r="C29" s="21">
        <v>5.0</v>
      </c>
      <c r="F29" s="5"/>
      <c r="H29" s="19"/>
      <c r="N29" s="39">
        <v>45775.0</v>
      </c>
      <c r="O29" s="40">
        <f t="shared" si="5"/>
        <v>15.15</v>
      </c>
      <c r="P29" s="5">
        <f t="shared" si="6"/>
        <v>1039.34</v>
      </c>
      <c r="Q29" s="5">
        <f t="shared" si="3"/>
        <v>37.11928571</v>
      </c>
      <c r="R29" s="9">
        <f t="shared" si="4"/>
        <v>1113.578571</v>
      </c>
    </row>
    <row r="30">
      <c r="A30" s="39">
        <v>45754.0</v>
      </c>
      <c r="B30" s="4" t="s">
        <v>47</v>
      </c>
      <c r="C30" s="21">
        <v>9.25</v>
      </c>
      <c r="F30" s="5"/>
      <c r="H30" s="19"/>
      <c r="N30" s="39">
        <v>45776.0</v>
      </c>
      <c r="O30" s="40">
        <f t="shared" si="5"/>
        <v>9.03</v>
      </c>
      <c r="P30" s="5">
        <f t="shared" si="6"/>
        <v>1048.37</v>
      </c>
      <c r="Q30" s="5">
        <f t="shared" si="3"/>
        <v>36.15068966</v>
      </c>
      <c r="R30" s="9">
        <f t="shared" si="4"/>
        <v>1084.52069</v>
      </c>
    </row>
    <row r="31">
      <c r="A31" s="39">
        <v>45754.0</v>
      </c>
      <c r="B31" s="4" t="s">
        <v>56</v>
      </c>
      <c r="C31" s="4">
        <v>0.8</v>
      </c>
      <c r="E31" s="19"/>
      <c r="F31" s="5"/>
      <c r="H31" s="19"/>
      <c r="N31" s="39">
        <v>45777.0</v>
      </c>
      <c r="O31" s="40">
        <f t="shared" si="5"/>
        <v>14.48</v>
      </c>
      <c r="P31" s="5">
        <f t="shared" si="6"/>
        <v>1062.85</v>
      </c>
      <c r="Q31" s="5">
        <f t="shared" si="3"/>
        <v>35.42833333</v>
      </c>
      <c r="R31" s="9">
        <f t="shared" si="4"/>
        <v>1062.85</v>
      </c>
    </row>
    <row r="32">
      <c r="A32" s="39">
        <v>45756.0</v>
      </c>
      <c r="B32" s="4" t="s">
        <v>76</v>
      </c>
      <c r="C32" s="21">
        <v>3.9</v>
      </c>
      <c r="E32" s="19"/>
      <c r="F32" s="5"/>
      <c r="H32" s="19"/>
      <c r="N32" s="39"/>
      <c r="Q32" s="5"/>
      <c r="R32" s="9"/>
    </row>
    <row r="33">
      <c r="A33" s="39">
        <v>45756.0</v>
      </c>
      <c r="B33" s="4" t="s">
        <v>57</v>
      </c>
      <c r="C33" s="4">
        <v>4.9</v>
      </c>
      <c r="E33" s="19"/>
      <c r="F33" s="5"/>
      <c r="H33" s="19"/>
      <c r="N33" s="39"/>
      <c r="Q33" s="5"/>
      <c r="R33" s="9"/>
    </row>
    <row r="34">
      <c r="A34" s="39">
        <v>45756.0</v>
      </c>
      <c r="B34" s="4" t="s">
        <v>66</v>
      </c>
      <c r="C34" s="21">
        <v>8.75</v>
      </c>
      <c r="E34" s="19"/>
      <c r="F34" s="5"/>
      <c r="H34" s="19"/>
      <c r="Q34" s="5"/>
      <c r="R34" s="9"/>
    </row>
    <row r="35">
      <c r="A35" s="39">
        <v>45756.0</v>
      </c>
      <c r="B35" s="4" t="s">
        <v>47</v>
      </c>
      <c r="C35" s="21">
        <v>9.17</v>
      </c>
      <c r="E35" s="19"/>
      <c r="F35" s="5"/>
      <c r="H35" s="19"/>
      <c r="Q35" s="5"/>
      <c r="R35" s="9"/>
    </row>
    <row r="36">
      <c r="A36" s="39">
        <v>45756.0</v>
      </c>
      <c r="B36" s="4" t="s">
        <v>240</v>
      </c>
      <c r="C36" s="21">
        <v>8.99</v>
      </c>
      <c r="E36" s="19"/>
      <c r="F36" s="5"/>
      <c r="H36" s="19"/>
      <c r="Q36" s="5"/>
      <c r="R36" s="9"/>
    </row>
    <row r="37">
      <c r="A37" s="39">
        <v>45757.0</v>
      </c>
      <c r="B37" s="4" t="s">
        <v>76</v>
      </c>
      <c r="C37" s="21">
        <v>1.69</v>
      </c>
      <c r="E37" s="19"/>
      <c r="F37" s="5"/>
      <c r="H37" s="19"/>
      <c r="Q37" s="5"/>
      <c r="R37" s="9"/>
    </row>
    <row r="38">
      <c r="A38" s="39">
        <v>45757.0</v>
      </c>
      <c r="B38" s="4" t="s">
        <v>140</v>
      </c>
      <c r="C38" s="21">
        <v>14.4</v>
      </c>
      <c r="E38" s="19"/>
      <c r="F38" s="5"/>
      <c r="H38" s="19"/>
      <c r="Q38" s="5"/>
      <c r="R38" s="9"/>
    </row>
    <row r="39">
      <c r="A39" s="39">
        <v>45757.0</v>
      </c>
      <c r="B39" s="4" t="s">
        <v>62</v>
      </c>
      <c r="C39" s="21">
        <v>4.45</v>
      </c>
      <c r="E39" s="19"/>
      <c r="F39" s="5"/>
      <c r="H39" s="19"/>
      <c r="Q39" s="5"/>
      <c r="R39" s="9"/>
    </row>
    <row r="40">
      <c r="A40" s="39">
        <v>45757.0</v>
      </c>
      <c r="B40" s="4" t="s">
        <v>47</v>
      </c>
      <c r="C40" s="21">
        <v>2.85</v>
      </c>
      <c r="E40" s="19"/>
      <c r="F40" s="5"/>
      <c r="H40" s="19"/>
      <c r="Q40" s="5"/>
      <c r="R40" s="9"/>
    </row>
    <row r="41">
      <c r="A41" s="39">
        <v>45758.0</v>
      </c>
      <c r="B41" s="4" t="s">
        <v>127</v>
      </c>
      <c r="C41" s="21">
        <v>9.9</v>
      </c>
      <c r="E41" s="19"/>
      <c r="F41" s="5"/>
      <c r="H41" s="19"/>
      <c r="Q41" s="5"/>
      <c r="R41" s="9"/>
    </row>
    <row r="42">
      <c r="A42" s="39">
        <v>45758.0</v>
      </c>
      <c r="B42" s="4" t="s">
        <v>140</v>
      </c>
      <c r="C42" s="21">
        <v>10.98</v>
      </c>
      <c r="E42" s="19"/>
      <c r="F42" s="5"/>
      <c r="H42" s="19"/>
      <c r="Q42" s="5"/>
      <c r="R42" s="9"/>
    </row>
    <row r="43">
      <c r="A43" s="39">
        <v>45758.0</v>
      </c>
      <c r="B43" s="4" t="s">
        <v>66</v>
      </c>
      <c r="C43" s="21">
        <v>2.3</v>
      </c>
      <c r="E43" s="19"/>
      <c r="F43" s="5"/>
      <c r="H43" s="19"/>
      <c r="Q43" s="5"/>
      <c r="R43" s="9"/>
    </row>
    <row r="44">
      <c r="A44" s="39">
        <v>45758.0</v>
      </c>
      <c r="B44" s="4" t="s">
        <v>45</v>
      </c>
      <c r="C44" s="40">
        <f>14.62+16.75+5+20</f>
        <v>56.37</v>
      </c>
      <c r="E44" s="19"/>
      <c r="F44" s="5"/>
      <c r="H44" s="19"/>
      <c r="Q44" s="5"/>
      <c r="R44" s="9"/>
    </row>
    <row r="45">
      <c r="A45" s="39">
        <v>45758.0</v>
      </c>
      <c r="B45" s="4" t="s">
        <v>210</v>
      </c>
      <c r="C45" s="21">
        <f>21+16.8</f>
        <v>37.8</v>
      </c>
      <c r="E45" s="19"/>
      <c r="F45" s="5"/>
      <c r="H45" s="19"/>
      <c r="Q45" s="5"/>
      <c r="R45" s="9"/>
    </row>
    <row r="46">
      <c r="A46" s="39">
        <v>45759.0</v>
      </c>
      <c r="B46" s="4" t="s">
        <v>241</v>
      </c>
      <c r="C46" s="21">
        <v>2.0</v>
      </c>
      <c r="E46" s="19"/>
      <c r="F46" s="5"/>
      <c r="H46" s="19"/>
      <c r="Q46" s="5"/>
      <c r="R46" s="9"/>
    </row>
    <row r="47">
      <c r="A47" s="39">
        <v>45759.0</v>
      </c>
      <c r="B47" s="4" t="s">
        <v>242</v>
      </c>
      <c r="C47" s="21">
        <v>23.1</v>
      </c>
      <c r="E47" s="19"/>
      <c r="F47" s="5"/>
      <c r="H47" s="19"/>
      <c r="Q47" s="5"/>
      <c r="R47" s="9"/>
    </row>
    <row r="48">
      <c r="A48" s="39">
        <v>45759.0</v>
      </c>
      <c r="B48" s="4" t="s">
        <v>210</v>
      </c>
      <c r="C48" s="21">
        <v>22.8</v>
      </c>
      <c r="E48" s="19"/>
      <c r="F48" s="5"/>
      <c r="H48" s="19"/>
      <c r="Q48" s="5"/>
      <c r="R48" s="9"/>
    </row>
    <row r="49">
      <c r="A49" s="39">
        <v>45760.0</v>
      </c>
      <c r="B49" s="4" t="s">
        <v>62</v>
      </c>
      <c r="C49" s="21">
        <v>1.1</v>
      </c>
      <c r="E49" s="19"/>
      <c r="F49" s="5"/>
      <c r="H49" s="19"/>
      <c r="Q49" s="5"/>
      <c r="R49" s="9"/>
    </row>
    <row r="50">
      <c r="A50" s="39">
        <v>45762.0</v>
      </c>
      <c r="B50" s="4" t="s">
        <v>47</v>
      </c>
      <c r="C50" s="21">
        <v>3.52</v>
      </c>
      <c r="E50" s="19"/>
      <c r="F50" s="5"/>
      <c r="H50" s="19"/>
      <c r="Q50" s="5"/>
      <c r="R50" s="9"/>
    </row>
    <row r="51">
      <c r="A51" s="39">
        <v>45762.0</v>
      </c>
      <c r="B51" s="4" t="s">
        <v>213</v>
      </c>
      <c r="C51" s="21">
        <v>16.99</v>
      </c>
      <c r="E51" s="19"/>
      <c r="F51" s="5"/>
      <c r="H51" s="19"/>
      <c r="Q51" s="5"/>
      <c r="R51" s="9"/>
    </row>
    <row r="52">
      <c r="A52" s="39">
        <v>45762.0</v>
      </c>
      <c r="B52" s="4" t="s">
        <v>243</v>
      </c>
      <c r="C52" s="21">
        <v>16.0</v>
      </c>
      <c r="E52" s="19"/>
      <c r="F52" s="5"/>
      <c r="H52" s="19"/>
      <c r="Q52" s="5"/>
      <c r="R52" s="9"/>
    </row>
    <row r="53">
      <c r="A53" s="39">
        <v>45762.0</v>
      </c>
      <c r="B53" s="4" t="s">
        <v>127</v>
      </c>
      <c r="C53" s="21">
        <v>2.9</v>
      </c>
      <c r="E53" s="19"/>
      <c r="F53" s="5"/>
      <c r="H53" s="19"/>
      <c r="Q53" s="5"/>
      <c r="R53" s="9"/>
    </row>
    <row r="54">
      <c r="A54" s="39">
        <v>45763.0</v>
      </c>
      <c r="B54" s="4" t="s">
        <v>76</v>
      </c>
      <c r="C54" s="4">
        <v>3.84</v>
      </c>
      <c r="E54" s="19"/>
      <c r="F54" s="5"/>
      <c r="H54" s="19"/>
      <c r="Q54" s="5"/>
      <c r="R54" s="9"/>
    </row>
    <row r="55">
      <c r="A55" s="39">
        <v>45763.0</v>
      </c>
      <c r="B55" s="4" t="s">
        <v>140</v>
      </c>
      <c r="C55" s="43">
        <v>11.99</v>
      </c>
      <c r="E55" s="19"/>
      <c r="F55" s="5"/>
      <c r="H55" s="19"/>
      <c r="Q55" s="5"/>
      <c r="R55" s="9"/>
    </row>
    <row r="56">
      <c r="A56" s="39">
        <v>45763.0</v>
      </c>
      <c r="B56" s="4" t="s">
        <v>62</v>
      </c>
      <c r="C56" s="21">
        <v>4.45</v>
      </c>
      <c r="E56" s="19"/>
      <c r="F56" s="5"/>
      <c r="H56" s="19"/>
      <c r="Q56" s="5"/>
      <c r="R56" s="9"/>
    </row>
    <row r="57">
      <c r="A57" s="39">
        <v>45763.0</v>
      </c>
      <c r="B57" s="4" t="s">
        <v>47</v>
      </c>
      <c r="C57" s="21">
        <v>11.0</v>
      </c>
      <c r="E57" s="19"/>
      <c r="F57" s="5"/>
      <c r="H57" s="19"/>
      <c r="Q57" s="5"/>
      <c r="R57" s="9"/>
    </row>
    <row r="58">
      <c r="A58" s="39">
        <v>45764.0</v>
      </c>
      <c r="B58" s="4" t="s">
        <v>66</v>
      </c>
      <c r="C58" s="21">
        <v>1.65</v>
      </c>
      <c r="E58" s="19"/>
      <c r="F58" s="5"/>
      <c r="H58" s="19"/>
      <c r="Q58" s="5"/>
      <c r="R58" s="9"/>
    </row>
    <row r="59">
      <c r="A59" s="39">
        <v>45764.0</v>
      </c>
      <c r="B59" s="4" t="s">
        <v>69</v>
      </c>
      <c r="C59" s="21">
        <v>30.43</v>
      </c>
      <c r="E59" s="19"/>
      <c r="F59" s="5"/>
      <c r="H59" s="19"/>
      <c r="Q59" s="5"/>
      <c r="R59" s="9"/>
    </row>
    <row r="60">
      <c r="A60" s="39">
        <v>45764.0</v>
      </c>
      <c r="B60" s="4" t="s">
        <v>127</v>
      </c>
      <c r="C60" s="21">
        <v>6.4</v>
      </c>
      <c r="E60" s="19"/>
      <c r="F60" s="5"/>
      <c r="H60" s="19"/>
      <c r="Q60" s="5"/>
      <c r="R60" s="9"/>
    </row>
    <row r="61">
      <c r="A61" s="39">
        <v>45765.0</v>
      </c>
      <c r="B61" s="4" t="s">
        <v>228</v>
      </c>
      <c r="C61" s="4">
        <v>28.33</v>
      </c>
      <c r="E61" s="19"/>
      <c r="F61" s="5"/>
      <c r="H61" s="19"/>
      <c r="Q61" s="5"/>
      <c r="R61" s="9"/>
    </row>
    <row r="62">
      <c r="A62" s="39">
        <v>45765.0</v>
      </c>
      <c r="B62" s="4" t="s">
        <v>228</v>
      </c>
      <c r="C62" s="4">
        <v>21.22</v>
      </c>
      <c r="E62" s="19"/>
      <c r="F62" s="5"/>
      <c r="H62" s="19"/>
      <c r="Q62" s="5"/>
      <c r="R62" s="9"/>
    </row>
    <row r="63">
      <c r="A63" s="39">
        <v>45765.0</v>
      </c>
      <c r="B63" s="4" t="s">
        <v>66</v>
      </c>
      <c r="C63" s="21">
        <v>12.3</v>
      </c>
      <c r="E63" s="19"/>
      <c r="F63" s="5"/>
      <c r="H63" s="19"/>
      <c r="Q63" s="5"/>
      <c r="R63" s="9"/>
    </row>
    <row r="64">
      <c r="A64" s="39">
        <v>45765.0</v>
      </c>
      <c r="B64" s="4" t="s">
        <v>52</v>
      </c>
      <c r="C64" s="21">
        <v>29.48</v>
      </c>
      <c r="E64" s="19"/>
      <c r="F64" s="5"/>
      <c r="H64" s="19"/>
      <c r="Q64" s="5"/>
      <c r="R64" s="9"/>
    </row>
    <row r="65">
      <c r="A65" s="39">
        <v>45765.0</v>
      </c>
      <c r="B65" s="4" t="s">
        <v>45</v>
      </c>
      <c r="C65" s="21">
        <v>11.75</v>
      </c>
      <c r="E65" s="19"/>
      <c r="F65" s="5"/>
      <c r="H65" s="19"/>
      <c r="Q65" s="5"/>
      <c r="R65" s="9"/>
    </row>
    <row r="66">
      <c r="A66" s="39">
        <v>45766.0</v>
      </c>
      <c r="B66" s="4" t="s">
        <v>45</v>
      </c>
      <c r="C66" s="21">
        <v>10.1</v>
      </c>
      <c r="E66" s="19"/>
      <c r="F66" s="5"/>
      <c r="H66" s="19"/>
      <c r="Q66" s="5"/>
      <c r="R66" s="9"/>
    </row>
    <row r="67">
      <c r="A67" s="39">
        <v>45766.0</v>
      </c>
      <c r="B67" s="4" t="s">
        <v>47</v>
      </c>
      <c r="C67" s="21">
        <v>13.25</v>
      </c>
      <c r="E67" s="19"/>
      <c r="F67" s="5"/>
      <c r="H67" s="19"/>
      <c r="Q67" s="5"/>
      <c r="R67" s="9"/>
    </row>
    <row r="68">
      <c r="A68" s="39">
        <v>45766.0</v>
      </c>
      <c r="B68" s="4" t="s">
        <v>69</v>
      </c>
      <c r="C68" s="21">
        <v>9.99</v>
      </c>
      <c r="E68" s="19"/>
      <c r="F68" s="5"/>
      <c r="H68" s="19"/>
      <c r="Q68" s="5"/>
      <c r="R68" s="9"/>
    </row>
    <row r="69">
      <c r="A69" s="39">
        <v>45766.0</v>
      </c>
      <c r="B69" s="4" t="s">
        <v>57</v>
      </c>
      <c r="C69" s="21">
        <v>5.99</v>
      </c>
      <c r="E69" s="19"/>
      <c r="F69" s="5"/>
      <c r="H69" s="19"/>
      <c r="Q69" s="5"/>
      <c r="R69" s="9"/>
    </row>
    <row r="70">
      <c r="A70" s="39">
        <v>45767.0</v>
      </c>
      <c r="B70" s="4" t="s">
        <v>165</v>
      </c>
      <c r="C70" s="21">
        <v>1.24</v>
      </c>
      <c r="E70" s="19"/>
      <c r="F70" s="5"/>
      <c r="H70" s="19"/>
      <c r="Q70" s="5"/>
      <c r="R70" s="9"/>
    </row>
    <row r="71">
      <c r="A71" s="39">
        <v>45768.0</v>
      </c>
      <c r="B71" s="4" t="s">
        <v>52</v>
      </c>
      <c r="C71" s="21">
        <v>14.15</v>
      </c>
      <c r="E71" s="19"/>
      <c r="F71" s="5"/>
      <c r="H71" s="19"/>
      <c r="Q71" s="5"/>
      <c r="R71" s="9"/>
    </row>
    <row r="72">
      <c r="A72" s="39">
        <v>45769.0</v>
      </c>
      <c r="B72" s="4" t="s">
        <v>66</v>
      </c>
      <c r="C72" s="21">
        <v>9.95</v>
      </c>
      <c r="E72" s="19"/>
      <c r="F72" s="5"/>
      <c r="H72" s="19"/>
      <c r="Q72" s="5"/>
      <c r="R72" s="9"/>
    </row>
    <row r="73">
      <c r="A73" s="39">
        <v>45770.0</v>
      </c>
      <c r="B73" s="4" t="s">
        <v>57</v>
      </c>
      <c r="C73" s="21">
        <v>4.9</v>
      </c>
      <c r="E73" s="19"/>
      <c r="F73" s="5"/>
      <c r="H73" s="19"/>
      <c r="Q73" s="5"/>
      <c r="R73" s="9"/>
    </row>
    <row r="74">
      <c r="A74" s="39">
        <v>45770.0</v>
      </c>
      <c r="B74" s="4" t="s">
        <v>47</v>
      </c>
      <c r="C74" s="21">
        <v>3.75</v>
      </c>
      <c r="E74" s="19"/>
      <c r="F74" s="5"/>
      <c r="H74" s="19"/>
      <c r="Q74" s="5"/>
      <c r="R74" s="9"/>
    </row>
    <row r="75">
      <c r="A75" s="39">
        <v>45770.0</v>
      </c>
      <c r="B75" s="4" t="s">
        <v>47</v>
      </c>
      <c r="C75" s="21">
        <v>2.5</v>
      </c>
      <c r="E75" s="19"/>
      <c r="F75" s="5"/>
      <c r="H75" s="19"/>
      <c r="Q75" s="5"/>
      <c r="R75" s="9"/>
    </row>
    <row r="76">
      <c r="A76" s="39">
        <v>45771.0</v>
      </c>
      <c r="B76" s="4" t="s">
        <v>127</v>
      </c>
      <c r="C76" s="21">
        <v>7.0</v>
      </c>
      <c r="E76" s="19"/>
      <c r="F76" s="5"/>
      <c r="H76" s="19"/>
      <c r="Q76" s="5"/>
      <c r="R76" s="9"/>
    </row>
    <row r="77">
      <c r="A77" s="39">
        <v>45771.0</v>
      </c>
      <c r="B77" s="4" t="s">
        <v>62</v>
      </c>
      <c r="C77" s="21">
        <v>7.8</v>
      </c>
      <c r="E77" s="19"/>
      <c r="F77" s="5"/>
      <c r="H77" s="19"/>
      <c r="Q77" s="5"/>
      <c r="R77" s="9"/>
    </row>
    <row r="78">
      <c r="A78" s="39">
        <v>45771.0</v>
      </c>
      <c r="B78" s="4" t="s">
        <v>243</v>
      </c>
      <c r="C78" s="21">
        <v>16.0</v>
      </c>
      <c r="E78" s="19"/>
      <c r="F78" s="5"/>
      <c r="H78" s="19"/>
      <c r="Q78" s="5"/>
      <c r="R78" s="9"/>
    </row>
    <row r="79">
      <c r="A79" s="39">
        <v>45771.0</v>
      </c>
      <c r="B79" s="4" t="s">
        <v>140</v>
      </c>
      <c r="C79" s="4">
        <v>10.9</v>
      </c>
      <c r="E79" s="19"/>
      <c r="F79" s="5"/>
      <c r="H79" s="19"/>
      <c r="Q79" s="5"/>
      <c r="R79" s="9"/>
    </row>
    <row r="80">
      <c r="A80" s="39">
        <v>45771.0</v>
      </c>
      <c r="B80" s="4" t="s">
        <v>47</v>
      </c>
      <c r="C80" s="21">
        <v>13.85</v>
      </c>
      <c r="E80" s="19"/>
      <c r="F80" s="5"/>
      <c r="H80" s="19"/>
      <c r="Q80" s="5"/>
      <c r="R80" s="9"/>
    </row>
    <row r="81">
      <c r="A81" s="39">
        <v>45772.0</v>
      </c>
      <c r="B81" s="4" t="s">
        <v>64</v>
      </c>
      <c r="C81" s="21">
        <v>12.0</v>
      </c>
      <c r="E81" s="19"/>
      <c r="F81" s="5"/>
      <c r="H81" s="19"/>
      <c r="Q81" s="5"/>
      <c r="R81" s="9"/>
    </row>
    <row r="82">
      <c r="A82" s="39">
        <v>45772.0</v>
      </c>
      <c r="B82" s="4" t="s">
        <v>66</v>
      </c>
      <c r="C82" s="21">
        <v>0.9</v>
      </c>
      <c r="E82" s="19"/>
      <c r="F82" s="5"/>
      <c r="H82" s="19"/>
      <c r="Q82" s="5"/>
      <c r="R82" s="9"/>
    </row>
    <row r="83">
      <c r="A83" s="39">
        <v>45772.0</v>
      </c>
      <c r="B83" s="4" t="s">
        <v>165</v>
      </c>
      <c r="C83" s="21">
        <v>8.5</v>
      </c>
      <c r="E83" s="19"/>
      <c r="F83" s="5"/>
      <c r="H83" s="19"/>
      <c r="Q83" s="5"/>
      <c r="R83" s="9"/>
    </row>
    <row r="84">
      <c r="A84" s="39">
        <v>45772.0</v>
      </c>
      <c r="B84" s="4" t="s">
        <v>45</v>
      </c>
      <c r="C84" s="21">
        <v>20.55</v>
      </c>
      <c r="E84" s="19"/>
      <c r="F84" s="5"/>
      <c r="H84" s="19"/>
      <c r="Q84" s="5"/>
      <c r="R84" s="9"/>
    </row>
    <row r="85">
      <c r="A85" s="39">
        <v>45772.0</v>
      </c>
      <c r="B85" s="4" t="s">
        <v>45</v>
      </c>
      <c r="C85" s="21">
        <v>7.49</v>
      </c>
      <c r="E85" s="19"/>
      <c r="F85" s="5"/>
      <c r="H85" s="19"/>
      <c r="Q85" s="5"/>
      <c r="R85" s="9"/>
    </row>
    <row r="86">
      <c r="A86" s="39">
        <v>45773.0</v>
      </c>
      <c r="B86" s="4" t="s">
        <v>47</v>
      </c>
      <c r="C86" s="21">
        <v>3.75</v>
      </c>
      <c r="E86" s="19"/>
      <c r="F86" s="5"/>
      <c r="H86" s="19"/>
      <c r="Q86" s="5"/>
      <c r="R86" s="9"/>
    </row>
    <row r="87">
      <c r="A87" s="39">
        <v>45773.0</v>
      </c>
      <c r="B87" s="4" t="s">
        <v>45</v>
      </c>
      <c r="C87" s="21">
        <f>6.75+19.46</f>
        <v>26.21</v>
      </c>
      <c r="E87" s="19"/>
      <c r="F87" s="5"/>
      <c r="H87" s="19"/>
      <c r="Q87" s="5"/>
      <c r="R87" s="9"/>
    </row>
    <row r="88">
      <c r="A88" s="39">
        <v>45773.0</v>
      </c>
      <c r="B88" s="4" t="s">
        <v>210</v>
      </c>
      <c r="C88" s="21">
        <v>7.4</v>
      </c>
      <c r="E88" s="19"/>
      <c r="F88" s="5"/>
      <c r="H88" s="19"/>
      <c r="Q88" s="5"/>
      <c r="R88" s="9"/>
    </row>
    <row r="89">
      <c r="A89" s="39">
        <v>45774.0</v>
      </c>
      <c r="B89" s="4" t="s">
        <v>52</v>
      </c>
      <c r="C89" s="21">
        <v>18.71</v>
      </c>
      <c r="E89" s="19"/>
      <c r="F89" s="5"/>
      <c r="H89" s="19"/>
      <c r="Q89" s="5"/>
      <c r="R89" s="9"/>
    </row>
    <row r="90">
      <c r="A90" s="39">
        <v>45775.0</v>
      </c>
      <c r="B90" s="4" t="s">
        <v>66</v>
      </c>
      <c r="C90" s="21">
        <v>7.15</v>
      </c>
      <c r="E90" s="19"/>
      <c r="F90" s="5"/>
      <c r="H90" s="19"/>
      <c r="Q90" s="5"/>
      <c r="R90" s="9"/>
    </row>
    <row r="91">
      <c r="A91" s="39">
        <v>45775.0</v>
      </c>
      <c r="B91" s="4" t="s">
        <v>243</v>
      </c>
      <c r="C91" s="21">
        <v>8.0</v>
      </c>
      <c r="E91" s="19"/>
      <c r="F91" s="5"/>
      <c r="H91" s="19"/>
      <c r="Q91" s="5"/>
      <c r="R91" s="9"/>
    </row>
    <row r="92">
      <c r="A92" s="39">
        <v>45776.0</v>
      </c>
      <c r="B92" s="4" t="s">
        <v>47</v>
      </c>
      <c r="C92" s="21">
        <v>9.03</v>
      </c>
      <c r="E92" s="19"/>
      <c r="F92" s="5"/>
      <c r="H92" s="19"/>
      <c r="Q92" s="5"/>
      <c r="R92" s="9"/>
    </row>
    <row r="93">
      <c r="A93" s="39">
        <v>45777.0</v>
      </c>
      <c r="B93" s="4" t="s">
        <v>47</v>
      </c>
      <c r="C93" s="21">
        <v>8.0</v>
      </c>
      <c r="E93" s="19"/>
      <c r="F93" s="5"/>
      <c r="H93" s="19"/>
      <c r="Q93" s="5"/>
      <c r="R93" s="9"/>
    </row>
    <row r="94">
      <c r="A94" s="39">
        <v>45777.0</v>
      </c>
      <c r="B94" s="4" t="s">
        <v>210</v>
      </c>
      <c r="C94" s="21">
        <v>6.48</v>
      </c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B1:B999">
    <cfRule type="expression" dxfId="2" priority="1">
      <formula>SUMPRODUCT(--ISNUMBER(SEARCH($E$1:$E$14, B1))) &gt; 0</formula>
    </cfRule>
  </conditionalFormatting>
  <conditionalFormatting sqref="B1:B999">
    <cfRule type="expression" dxfId="2" priority="2">
      <formula>COUNTIF($H$2:$H$3, B1) &gt; 0</formula>
    </cfRule>
  </conditionalFormatting>
  <conditionalFormatting sqref="V2">
    <cfRule type="cellIs" dxfId="2" priority="3" operator="greaterThan">
      <formula>0</formula>
    </cfRule>
  </conditionalFormatting>
  <conditionalFormatting sqref="V2">
    <cfRule type="cellIs" dxfId="3" priority="4" operator="lessThan">
      <formula>0</formula>
    </cfRule>
  </conditionalFormatting>
  <conditionalFormatting sqref="N1 N33">
    <cfRule type="timePeriod" dxfId="4" priority="5" timePeriod="today"/>
  </conditionalFormatting>
  <conditionalFormatting sqref="N1 N33:N999">
    <cfRule type="timePeriod" dxfId="5" priority="6" timePeriod="today"/>
  </conditionalFormatting>
  <conditionalFormatting sqref="O1:O999 Q1:Q999">
    <cfRule type="cellIs" dxfId="0" priority="7" operator="lessThan">
      <formula>25</formula>
    </cfRule>
  </conditionalFormatting>
  <conditionalFormatting sqref="O1:O999 Q1:Q999">
    <cfRule type="cellIs" dxfId="6" priority="8" operator="lessThan">
      <formula>35</formula>
    </cfRule>
  </conditionalFormatting>
  <conditionalFormatting sqref="O1:O999 Q1:Q999">
    <cfRule type="cellIs" dxfId="1" priority="9" operator="greaterThanOrEqual">
      <formula>35</formula>
    </cfRule>
  </conditionalFormatting>
  <conditionalFormatting sqref="I1">
    <cfRule type="cellIs" dxfId="1" priority="10" operator="lessThan">
      <formula>0</formula>
    </cfRule>
  </conditionalFormatting>
  <conditionalFormatting sqref="I1">
    <cfRule type="cellIs" dxfId="0" priority="11" operator="greaterThan">
      <formula>0</formula>
    </cfRule>
  </conditionalFormatting>
  <conditionalFormatting sqref="B1:B999 E24:E30">
    <cfRule type="expression" dxfId="2" priority="12">
      <formula>COUNTIF($E$1:$E$999, B1) &gt; 0</formula>
    </cfRule>
  </conditionalFormatting>
  <conditionalFormatting sqref="B1:B999 E24:E30">
    <cfRule type="expression" dxfId="2" priority="13">
      <formula>COUNTIF($K$1:$K$999, B1) &gt; 0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 t="shared" ref="F1:F5" si="1">SUMIF(B:B,"*"&amp;E1&amp;"*",C:C)</f>
        <v>111.1</v>
      </c>
      <c r="H1" s="1" t="s">
        <v>46</v>
      </c>
      <c r="I1" s="5">
        <f>I6-I7</f>
        <v>196.04</v>
      </c>
      <c r="J1" s="9" t="str">
        <f>I1/COUNTIF(N:N, "&gt;=" &amp; TODAY())</f>
        <v>#DIV/0!</v>
      </c>
      <c r="K1" s="1" t="s">
        <v>47</v>
      </c>
      <c r="L1" s="5">
        <f t="shared" ref="L1:L7" si="2">SUMIF(B:B,K1,C:I)</f>
        <v>100.47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" t="s">
        <v>233</v>
      </c>
      <c r="U1" s="1" t="s">
        <v>234</v>
      </c>
      <c r="V1" s="1" t="s">
        <v>235</v>
      </c>
      <c r="W1" s="19"/>
      <c r="X1" s="19"/>
      <c r="Y1" s="19"/>
      <c r="Z1" s="19"/>
    </row>
    <row r="2">
      <c r="A2" s="39">
        <v>45717.0</v>
      </c>
      <c r="B2" s="4" t="s">
        <v>8</v>
      </c>
      <c r="C2" s="21">
        <v>1000.0</v>
      </c>
      <c r="E2" s="1" t="s">
        <v>52</v>
      </c>
      <c r="F2" s="5">
        <f t="shared" si="1"/>
        <v>54.53</v>
      </c>
      <c r="H2" s="1" t="s">
        <v>6</v>
      </c>
      <c r="I2" s="5">
        <f>SUMIF(B:B,H2,C:C)</f>
        <v>0</v>
      </c>
      <c r="K2" s="1" t="s">
        <v>53</v>
      </c>
      <c r="L2" s="5">
        <f t="shared" si="2"/>
        <v>0</v>
      </c>
      <c r="N2" s="39">
        <v>45717.0</v>
      </c>
      <c r="O2" s="5">
        <f>sumif(A:A,N2,C:C)-sum(C2:C4)-C8</f>
        <v>97.38</v>
      </c>
      <c r="P2" s="5">
        <f>SUM(O2)</f>
        <v>97.38</v>
      </c>
      <c r="Q2" s="5">
        <f t="shared" ref="Q2:Q32" si="3">P2/(ROW()-1)</f>
        <v>97.38</v>
      </c>
      <c r="R2" s="9">
        <f t="shared" ref="R2:R32" si="4">count(N:N)*Q2</f>
        <v>3018.78</v>
      </c>
      <c r="T2" s="9" t="str">
        <f>IFERROR(__xludf.DUMMYFUNCTION("(I1+(FILTER(O:O,N:N=TODAY()-1)))/(COUNTIF(N:N, ""&gt;="" &amp; TODAY())+1)"),"#N/A")</f>
        <v>#N/A</v>
      </c>
      <c r="U2" s="9" t="str">
        <f>I1/COUNTIF(N:N, "&gt;=" &amp; TODAY())</f>
        <v>#DIV/0!</v>
      </c>
      <c r="V2" s="40" t="str">
        <f>U2-T2</f>
        <v>#DIV/0!</v>
      </c>
    </row>
    <row r="3">
      <c r="A3" s="39">
        <v>45717.0</v>
      </c>
      <c r="B3" s="4" t="s">
        <v>54</v>
      </c>
      <c r="C3" s="41">
        <f>850+30.46+84.53</f>
        <v>964.99</v>
      </c>
      <c r="E3" s="1" t="s">
        <v>209</v>
      </c>
      <c r="F3" s="5">
        <f t="shared" si="1"/>
        <v>6</v>
      </c>
      <c r="H3" s="1" t="s">
        <v>8</v>
      </c>
      <c r="I3" s="5">
        <f>SUMIF(B:B,H3,C:C)+I1</f>
        <v>1196.04</v>
      </c>
      <c r="K3" s="1" t="s">
        <v>56</v>
      </c>
      <c r="L3" s="5">
        <f t="shared" si="2"/>
        <v>8</v>
      </c>
      <c r="N3" s="39">
        <v>45718.0</v>
      </c>
      <c r="O3" s="40">
        <f t="shared" ref="O3:O32" si="5">sumif(A:A,N3,C:C)</f>
        <v>18.17</v>
      </c>
      <c r="P3" s="5">
        <f t="shared" ref="P3:P32" si="6">P2+O3</f>
        <v>115.55</v>
      </c>
      <c r="Q3" s="5">
        <f t="shared" si="3"/>
        <v>57.775</v>
      </c>
      <c r="R3" s="9">
        <f t="shared" si="4"/>
        <v>1791.025</v>
      </c>
    </row>
    <row r="4">
      <c r="A4" s="39">
        <v>45717.0</v>
      </c>
      <c r="B4" s="4" t="s">
        <v>6</v>
      </c>
      <c r="C4" s="21">
        <v>0.0</v>
      </c>
      <c r="E4" s="1" t="s">
        <v>140</v>
      </c>
      <c r="F4" s="5">
        <f t="shared" si="1"/>
        <v>62.84</v>
      </c>
      <c r="H4" s="1" t="s">
        <v>58</v>
      </c>
      <c r="I4" s="5">
        <f>I2+I3</f>
        <v>1196.04</v>
      </c>
      <c r="K4" s="1" t="s">
        <v>59</v>
      </c>
      <c r="L4" s="5">
        <f t="shared" si="2"/>
        <v>23.45</v>
      </c>
      <c r="N4" s="39">
        <v>45719.0</v>
      </c>
      <c r="O4" s="40">
        <f t="shared" si="5"/>
        <v>43.13</v>
      </c>
      <c r="P4" s="5">
        <f t="shared" si="6"/>
        <v>158.68</v>
      </c>
      <c r="Q4" s="5">
        <f t="shared" si="3"/>
        <v>52.89333333</v>
      </c>
      <c r="R4" s="9">
        <f t="shared" si="4"/>
        <v>1639.693333</v>
      </c>
    </row>
    <row r="5">
      <c r="A5" s="39">
        <v>45717.0</v>
      </c>
      <c r="B5" s="4" t="s">
        <v>63</v>
      </c>
      <c r="C5" s="21">
        <v>9.0</v>
      </c>
      <c r="E5" s="1" t="s">
        <v>210</v>
      </c>
      <c r="F5" s="5">
        <f t="shared" si="1"/>
        <v>25.61</v>
      </c>
      <c r="K5" s="1" t="s">
        <v>62</v>
      </c>
      <c r="L5" s="5">
        <f t="shared" si="2"/>
        <v>3.6</v>
      </c>
      <c r="N5" s="39">
        <v>45720.0</v>
      </c>
      <c r="O5" s="40">
        <f t="shared" si="5"/>
        <v>31.73</v>
      </c>
      <c r="P5" s="5">
        <f t="shared" si="6"/>
        <v>190.41</v>
      </c>
      <c r="Q5" s="5">
        <f t="shared" si="3"/>
        <v>47.6025</v>
      </c>
      <c r="R5" s="9">
        <f t="shared" si="4"/>
        <v>1475.6775</v>
      </c>
    </row>
    <row r="6">
      <c r="A6" s="39">
        <v>45717.0</v>
      </c>
      <c r="B6" s="4" t="s">
        <v>67</v>
      </c>
      <c r="C6" s="12">
        <f>36.99+21.99</f>
        <v>58.98</v>
      </c>
      <c r="E6" s="1" t="s">
        <v>57</v>
      </c>
      <c r="F6" s="5">
        <f>SUMIF(B:B,"*"&amp;E6&amp;"*",C:C)+SUM(L1:L7)</f>
        <v>251.42</v>
      </c>
      <c r="H6" s="1" t="s">
        <v>65</v>
      </c>
      <c r="I6" s="21">
        <f>3241.03+sum(39.21)</f>
        <v>3280.24</v>
      </c>
      <c r="K6" s="1" t="s">
        <v>66</v>
      </c>
      <c r="L6" s="5">
        <f t="shared" si="2"/>
        <v>56.63</v>
      </c>
      <c r="N6" s="39">
        <v>45721.0</v>
      </c>
      <c r="O6" s="40">
        <f t="shared" si="5"/>
        <v>45.47</v>
      </c>
      <c r="P6" s="5">
        <f t="shared" si="6"/>
        <v>235.88</v>
      </c>
      <c r="Q6" s="5">
        <f t="shared" si="3"/>
        <v>47.176</v>
      </c>
      <c r="R6" s="9">
        <f t="shared" si="4"/>
        <v>1462.456</v>
      </c>
    </row>
    <row r="7">
      <c r="A7" s="39">
        <v>45717.0</v>
      </c>
      <c r="B7" s="4" t="s">
        <v>183</v>
      </c>
      <c r="C7" s="21">
        <f>99/12</f>
        <v>8.25</v>
      </c>
      <c r="E7" s="42" t="s">
        <v>61</v>
      </c>
      <c r="F7" s="5">
        <f t="shared" ref="F7:F14" si="7">SUMIF(B:B,"*"&amp;E7&amp;"*",C:C)</f>
        <v>46.23</v>
      </c>
      <c r="H7" s="1" t="s">
        <v>68</v>
      </c>
      <c r="I7" s="5">
        <f>sum(C:C)</f>
        <v>3084.2</v>
      </c>
      <c r="K7" s="1" t="s">
        <v>69</v>
      </c>
      <c r="L7" s="5">
        <f t="shared" si="2"/>
        <v>7.63</v>
      </c>
      <c r="N7" s="39">
        <v>45722.0</v>
      </c>
      <c r="O7" s="40">
        <f t="shared" si="5"/>
        <v>7</v>
      </c>
      <c r="P7" s="5">
        <f t="shared" si="6"/>
        <v>242.88</v>
      </c>
      <c r="Q7" s="5">
        <f t="shared" si="3"/>
        <v>40.48</v>
      </c>
      <c r="R7" s="9">
        <f t="shared" si="4"/>
        <v>1254.88</v>
      </c>
    </row>
    <row r="8">
      <c r="A8" s="39">
        <v>45717.0</v>
      </c>
      <c r="B8" s="4" t="s">
        <v>244</v>
      </c>
      <c r="C8" s="21">
        <v>165.14</v>
      </c>
      <c r="E8" s="1" t="s">
        <v>64</v>
      </c>
      <c r="F8" s="5">
        <f t="shared" si="7"/>
        <v>98.37</v>
      </c>
      <c r="H8" s="1" t="s">
        <v>72</v>
      </c>
      <c r="I8" s="5">
        <f>sum(F:F)+I2+C2</f>
        <v>3005.61</v>
      </c>
      <c r="N8" s="39">
        <v>45723.0</v>
      </c>
      <c r="O8" s="40">
        <f t="shared" si="5"/>
        <v>14.4</v>
      </c>
      <c r="P8" s="5">
        <f t="shared" si="6"/>
        <v>257.28</v>
      </c>
      <c r="Q8" s="5">
        <f t="shared" si="3"/>
        <v>36.75428571</v>
      </c>
      <c r="R8" s="9">
        <f t="shared" si="4"/>
        <v>1139.382857</v>
      </c>
    </row>
    <row r="9">
      <c r="A9" s="39">
        <v>45717.0</v>
      </c>
      <c r="B9" s="4" t="s">
        <v>57</v>
      </c>
      <c r="C9" s="21">
        <v>4.8</v>
      </c>
      <c r="E9" s="1" t="s">
        <v>54</v>
      </c>
      <c r="F9" s="5">
        <f t="shared" si="7"/>
        <v>982.98</v>
      </c>
      <c r="H9" s="1" t="s">
        <v>74</v>
      </c>
      <c r="I9" s="5">
        <f>I7-I8</f>
        <v>78.59</v>
      </c>
      <c r="N9" s="39">
        <v>45724.0</v>
      </c>
      <c r="O9" s="40">
        <f t="shared" si="5"/>
        <v>58.91</v>
      </c>
      <c r="P9" s="5">
        <f t="shared" si="6"/>
        <v>316.19</v>
      </c>
      <c r="Q9" s="5">
        <f t="shared" si="3"/>
        <v>39.52375</v>
      </c>
      <c r="R9" s="9">
        <f t="shared" si="4"/>
        <v>1225.23625</v>
      </c>
    </row>
    <row r="10">
      <c r="A10" s="39">
        <v>45717.0</v>
      </c>
      <c r="B10" s="4" t="s">
        <v>76</v>
      </c>
      <c r="C10" s="21">
        <v>3.9</v>
      </c>
      <c r="E10" s="1" t="s">
        <v>127</v>
      </c>
      <c r="F10" s="5">
        <f t="shared" si="7"/>
        <v>61.95</v>
      </c>
      <c r="N10" s="39">
        <v>45725.0</v>
      </c>
      <c r="O10" s="40">
        <f t="shared" si="5"/>
        <v>71.75</v>
      </c>
      <c r="P10" s="5">
        <f t="shared" si="6"/>
        <v>387.94</v>
      </c>
      <c r="Q10" s="5">
        <f t="shared" si="3"/>
        <v>43.10444444</v>
      </c>
      <c r="R10" s="9">
        <f t="shared" si="4"/>
        <v>1336.237778</v>
      </c>
    </row>
    <row r="11">
      <c r="A11" s="39">
        <v>45717.0</v>
      </c>
      <c r="B11" s="4" t="s">
        <v>66</v>
      </c>
      <c r="C11" s="4">
        <v>7.45</v>
      </c>
      <c r="E11" s="1" t="s">
        <v>73</v>
      </c>
      <c r="F11" s="5">
        <f t="shared" si="7"/>
        <v>9.96</v>
      </c>
      <c r="H11" s="1" t="s">
        <v>3</v>
      </c>
      <c r="I11" s="28">
        <f>I4/I6</f>
        <v>0.364619662</v>
      </c>
      <c r="N11" s="39">
        <v>45726.0</v>
      </c>
      <c r="O11" s="40">
        <f t="shared" si="5"/>
        <v>35.44</v>
      </c>
      <c r="P11" s="5">
        <f t="shared" si="6"/>
        <v>423.38</v>
      </c>
      <c r="Q11" s="5">
        <f t="shared" si="3"/>
        <v>42.338</v>
      </c>
      <c r="R11" s="9">
        <f t="shared" si="4"/>
        <v>1312.478</v>
      </c>
      <c r="T11" s="1"/>
      <c r="U11" s="9"/>
    </row>
    <row r="12">
      <c r="A12" s="39">
        <v>45717.0</v>
      </c>
      <c r="B12" s="4" t="s">
        <v>52</v>
      </c>
      <c r="C12" s="21">
        <v>5.0</v>
      </c>
      <c r="E12" s="1" t="s">
        <v>75</v>
      </c>
      <c r="F12" s="5">
        <f t="shared" si="7"/>
        <v>74.98</v>
      </c>
      <c r="N12" s="39">
        <v>45727.0</v>
      </c>
      <c r="O12" s="40">
        <f t="shared" si="5"/>
        <v>12.5</v>
      </c>
      <c r="P12" s="5">
        <f t="shared" si="6"/>
        <v>435.88</v>
      </c>
      <c r="Q12" s="5">
        <f t="shared" si="3"/>
        <v>39.62545455</v>
      </c>
      <c r="R12" s="9">
        <f t="shared" si="4"/>
        <v>1228.389091</v>
      </c>
      <c r="T12" s="1"/>
    </row>
    <row r="13">
      <c r="A13" s="39">
        <v>45718.0</v>
      </c>
      <c r="B13" s="4" t="s">
        <v>47</v>
      </c>
      <c r="C13" s="4">
        <v>13.27</v>
      </c>
      <c r="E13" s="1" t="s">
        <v>76</v>
      </c>
      <c r="F13" s="5">
        <f t="shared" si="7"/>
        <v>24.48</v>
      </c>
      <c r="N13" s="39">
        <v>45728.0</v>
      </c>
      <c r="O13" s="40">
        <f t="shared" si="5"/>
        <v>10.21</v>
      </c>
      <c r="P13" s="5">
        <f t="shared" si="6"/>
        <v>446.09</v>
      </c>
      <c r="Q13" s="5">
        <f t="shared" si="3"/>
        <v>37.17416667</v>
      </c>
      <c r="R13" s="9">
        <f t="shared" si="4"/>
        <v>1152.399167</v>
      </c>
    </row>
    <row r="14">
      <c r="A14" s="39">
        <v>45718.0</v>
      </c>
      <c r="B14" s="4" t="s">
        <v>57</v>
      </c>
      <c r="C14" s="21">
        <v>4.9</v>
      </c>
      <c r="E14" s="1" t="s">
        <v>77</v>
      </c>
      <c r="F14" s="5">
        <f t="shared" si="7"/>
        <v>195.16</v>
      </c>
      <c r="H14" s="19"/>
      <c r="N14" s="39">
        <v>45729.0</v>
      </c>
      <c r="O14" s="40">
        <f t="shared" si="5"/>
        <v>22.7</v>
      </c>
      <c r="P14" s="5">
        <f t="shared" si="6"/>
        <v>468.79</v>
      </c>
      <c r="Q14" s="5">
        <f t="shared" si="3"/>
        <v>36.06076923</v>
      </c>
      <c r="R14" s="9">
        <f t="shared" si="4"/>
        <v>1117.883846</v>
      </c>
    </row>
    <row r="15">
      <c r="A15" s="39">
        <v>45719.0</v>
      </c>
      <c r="B15" s="4" t="s">
        <v>245</v>
      </c>
      <c r="C15" s="21">
        <v>29.33</v>
      </c>
      <c r="E15" s="1"/>
      <c r="H15" s="1" t="s">
        <v>55</v>
      </c>
      <c r="I15" s="5">
        <f>sum(F2:F5)+F13</f>
        <v>173.46</v>
      </c>
      <c r="N15" s="39">
        <v>45730.0</v>
      </c>
      <c r="O15" s="40">
        <f t="shared" si="5"/>
        <v>83.73</v>
      </c>
      <c r="P15" s="5">
        <f t="shared" si="6"/>
        <v>552.52</v>
      </c>
      <c r="Q15" s="5">
        <f t="shared" si="3"/>
        <v>39.46571429</v>
      </c>
      <c r="R15" s="9">
        <f t="shared" si="4"/>
        <v>1223.437143</v>
      </c>
    </row>
    <row r="16">
      <c r="A16" s="39">
        <v>45719.0</v>
      </c>
      <c r="B16" s="4" t="s">
        <v>57</v>
      </c>
      <c r="C16" s="21">
        <v>4.9</v>
      </c>
      <c r="H16" s="19"/>
      <c r="N16" s="39">
        <v>45731.0</v>
      </c>
      <c r="O16" s="40">
        <f t="shared" si="5"/>
        <v>70.5</v>
      </c>
      <c r="P16" s="5">
        <f t="shared" si="6"/>
        <v>623.02</v>
      </c>
      <c r="Q16" s="5">
        <f t="shared" si="3"/>
        <v>41.53466667</v>
      </c>
      <c r="R16" s="9">
        <f t="shared" si="4"/>
        <v>1287.574667</v>
      </c>
    </row>
    <row r="17">
      <c r="A17" s="39">
        <v>45719.0</v>
      </c>
      <c r="B17" s="4" t="s">
        <v>47</v>
      </c>
      <c r="C17" s="21">
        <v>8.9</v>
      </c>
      <c r="H17" s="19"/>
      <c r="N17" s="39">
        <v>45732.0</v>
      </c>
      <c r="O17" s="40">
        <f t="shared" si="5"/>
        <v>53.24</v>
      </c>
      <c r="P17" s="5">
        <f t="shared" si="6"/>
        <v>676.26</v>
      </c>
      <c r="Q17" s="5">
        <f t="shared" si="3"/>
        <v>42.26625</v>
      </c>
      <c r="R17" s="9">
        <f t="shared" si="4"/>
        <v>1310.25375</v>
      </c>
    </row>
    <row r="18">
      <c r="A18" s="39">
        <v>45720.0</v>
      </c>
      <c r="B18" s="4" t="s">
        <v>209</v>
      </c>
      <c r="C18" s="21">
        <v>3.0</v>
      </c>
      <c r="H18" s="19"/>
      <c r="N18" s="39">
        <v>45733.0</v>
      </c>
      <c r="O18" s="40">
        <f t="shared" si="5"/>
        <v>16</v>
      </c>
      <c r="P18" s="5">
        <f t="shared" si="6"/>
        <v>692.26</v>
      </c>
      <c r="Q18" s="5">
        <f t="shared" si="3"/>
        <v>40.72117647</v>
      </c>
      <c r="R18" s="9">
        <f t="shared" si="4"/>
        <v>1262.356471</v>
      </c>
    </row>
    <row r="19">
      <c r="A19" s="39">
        <v>45720.0</v>
      </c>
      <c r="B19" s="4" t="s">
        <v>246</v>
      </c>
      <c r="C19" s="21">
        <v>1.75</v>
      </c>
      <c r="H19" s="19"/>
      <c r="N19" s="39">
        <v>45734.0</v>
      </c>
      <c r="O19" s="40">
        <f t="shared" si="5"/>
        <v>9.2</v>
      </c>
      <c r="P19" s="5">
        <f t="shared" si="6"/>
        <v>701.46</v>
      </c>
      <c r="Q19" s="5">
        <f t="shared" si="3"/>
        <v>38.97</v>
      </c>
      <c r="R19" s="9">
        <f t="shared" si="4"/>
        <v>1208.07</v>
      </c>
    </row>
    <row r="20">
      <c r="A20" s="39">
        <v>45720.0</v>
      </c>
      <c r="B20" s="4" t="s">
        <v>247</v>
      </c>
      <c r="C20" s="21">
        <v>8.0</v>
      </c>
      <c r="H20" s="19"/>
      <c r="N20" s="39">
        <v>45735.0</v>
      </c>
      <c r="O20" s="40">
        <f t="shared" si="5"/>
        <v>29.17</v>
      </c>
      <c r="P20" s="5">
        <f t="shared" si="6"/>
        <v>730.63</v>
      </c>
      <c r="Q20" s="5">
        <f t="shared" si="3"/>
        <v>38.45421053</v>
      </c>
      <c r="R20" s="9">
        <f t="shared" si="4"/>
        <v>1192.080526</v>
      </c>
    </row>
    <row r="21">
      <c r="A21" s="39">
        <v>45720.0</v>
      </c>
      <c r="B21" s="4" t="s">
        <v>248</v>
      </c>
      <c r="C21" s="21">
        <v>8.99</v>
      </c>
      <c r="E21" s="19"/>
      <c r="F21" s="5"/>
      <c r="H21" s="19"/>
      <c r="N21" s="39">
        <v>45736.0</v>
      </c>
      <c r="O21" s="40">
        <f t="shared" si="5"/>
        <v>10.5</v>
      </c>
      <c r="P21" s="5">
        <f t="shared" si="6"/>
        <v>741.13</v>
      </c>
      <c r="Q21" s="5">
        <f t="shared" si="3"/>
        <v>37.0565</v>
      </c>
      <c r="R21" s="9">
        <f t="shared" si="4"/>
        <v>1148.7515</v>
      </c>
    </row>
    <row r="22">
      <c r="A22" s="39">
        <v>45720.0</v>
      </c>
      <c r="B22" s="4" t="s">
        <v>131</v>
      </c>
      <c r="C22" s="21">
        <v>9.99</v>
      </c>
      <c r="E22" s="19"/>
      <c r="F22" s="5"/>
      <c r="H22" s="19"/>
      <c r="N22" s="39">
        <v>45737.0</v>
      </c>
      <c r="O22" s="40">
        <f t="shared" si="5"/>
        <v>27.4</v>
      </c>
      <c r="P22" s="5">
        <f t="shared" si="6"/>
        <v>768.53</v>
      </c>
      <c r="Q22" s="5">
        <f t="shared" si="3"/>
        <v>36.59666667</v>
      </c>
      <c r="R22" s="9">
        <f t="shared" si="4"/>
        <v>1134.496667</v>
      </c>
    </row>
    <row r="23">
      <c r="A23" s="39">
        <v>45721.0</v>
      </c>
      <c r="B23" s="4" t="s">
        <v>76</v>
      </c>
      <c r="C23" s="21">
        <v>0.99</v>
      </c>
      <c r="E23" s="19"/>
      <c r="F23" s="5"/>
      <c r="H23" s="19"/>
      <c r="N23" s="39">
        <v>45738.0</v>
      </c>
      <c r="O23" s="40">
        <f t="shared" si="5"/>
        <v>17.27</v>
      </c>
      <c r="P23" s="5">
        <f t="shared" si="6"/>
        <v>785.8</v>
      </c>
      <c r="Q23" s="5">
        <f t="shared" si="3"/>
        <v>35.71818182</v>
      </c>
      <c r="R23" s="9">
        <f t="shared" si="4"/>
        <v>1107.263636</v>
      </c>
    </row>
    <row r="24">
      <c r="A24" s="39">
        <v>45721.0</v>
      </c>
      <c r="B24" s="4" t="s">
        <v>140</v>
      </c>
      <c r="C24" s="21">
        <v>10.99</v>
      </c>
      <c r="E24" s="19"/>
      <c r="F24" s="5"/>
      <c r="H24" s="19"/>
      <c r="N24" s="39">
        <v>45739.0</v>
      </c>
      <c r="O24" s="40">
        <f t="shared" si="5"/>
        <v>18.2</v>
      </c>
      <c r="P24" s="5">
        <f t="shared" si="6"/>
        <v>804</v>
      </c>
      <c r="Q24" s="5">
        <f t="shared" si="3"/>
        <v>34.95652174</v>
      </c>
      <c r="R24" s="9">
        <f t="shared" si="4"/>
        <v>1083.652174</v>
      </c>
    </row>
    <row r="25">
      <c r="A25" s="39">
        <v>45721.0</v>
      </c>
      <c r="B25" s="4" t="s">
        <v>57</v>
      </c>
      <c r="C25" s="4">
        <v>6.35</v>
      </c>
      <c r="E25" s="19"/>
      <c r="F25" s="5"/>
      <c r="H25" s="19"/>
      <c r="N25" s="39">
        <v>45740.0</v>
      </c>
      <c r="O25" s="40">
        <f t="shared" si="5"/>
        <v>0</v>
      </c>
      <c r="P25" s="5">
        <f t="shared" si="6"/>
        <v>804</v>
      </c>
      <c r="Q25" s="5">
        <f t="shared" si="3"/>
        <v>33.5</v>
      </c>
      <c r="R25" s="9">
        <f t="shared" si="4"/>
        <v>1038.5</v>
      </c>
    </row>
    <row r="26">
      <c r="A26" s="39">
        <v>45721.0</v>
      </c>
      <c r="B26" s="4" t="s">
        <v>57</v>
      </c>
      <c r="C26" s="21">
        <v>4.9</v>
      </c>
      <c r="E26" s="19"/>
      <c r="F26" s="5"/>
      <c r="H26" s="19"/>
      <c r="N26" s="39">
        <v>45741.0</v>
      </c>
      <c r="O26" s="40">
        <f t="shared" si="5"/>
        <v>1.1</v>
      </c>
      <c r="P26" s="5">
        <f t="shared" si="6"/>
        <v>805.1</v>
      </c>
      <c r="Q26" s="5">
        <f t="shared" si="3"/>
        <v>32.204</v>
      </c>
      <c r="R26" s="9">
        <f t="shared" si="4"/>
        <v>998.324</v>
      </c>
    </row>
    <row r="27">
      <c r="A27" s="39">
        <v>45721.0</v>
      </c>
      <c r="B27" s="4" t="s">
        <v>238</v>
      </c>
      <c r="C27" s="21">
        <v>22.24</v>
      </c>
      <c r="E27" s="19"/>
      <c r="F27" s="5"/>
      <c r="H27" s="19"/>
      <c r="N27" s="39">
        <v>45742.0</v>
      </c>
      <c r="O27" s="40">
        <f t="shared" si="5"/>
        <v>39.14</v>
      </c>
      <c r="P27" s="5">
        <f t="shared" si="6"/>
        <v>844.24</v>
      </c>
      <c r="Q27" s="5">
        <f t="shared" si="3"/>
        <v>32.47076923</v>
      </c>
      <c r="R27" s="9">
        <f t="shared" si="4"/>
        <v>1006.593846</v>
      </c>
    </row>
    <row r="28">
      <c r="A28" s="39">
        <v>45722.0</v>
      </c>
      <c r="B28" s="4" t="s">
        <v>246</v>
      </c>
      <c r="C28" s="21">
        <v>7.0</v>
      </c>
      <c r="E28" s="19"/>
      <c r="F28" s="5"/>
      <c r="H28" s="19"/>
      <c r="N28" s="39">
        <v>45743.0</v>
      </c>
      <c r="O28" s="40">
        <f t="shared" si="5"/>
        <v>0</v>
      </c>
      <c r="P28" s="5">
        <f t="shared" si="6"/>
        <v>844.24</v>
      </c>
      <c r="Q28" s="5">
        <f t="shared" si="3"/>
        <v>31.26814815</v>
      </c>
      <c r="R28" s="9">
        <f t="shared" si="4"/>
        <v>969.3125926</v>
      </c>
    </row>
    <row r="29">
      <c r="A29" s="39">
        <v>45723.0</v>
      </c>
      <c r="B29" s="4" t="s">
        <v>66</v>
      </c>
      <c r="C29" s="21">
        <v>3.75</v>
      </c>
      <c r="E29" s="19"/>
      <c r="F29" s="5"/>
      <c r="H29" s="19"/>
      <c r="N29" s="39">
        <v>45744.0</v>
      </c>
      <c r="O29" s="40">
        <f t="shared" si="5"/>
        <v>4.9</v>
      </c>
      <c r="P29" s="5">
        <f t="shared" si="6"/>
        <v>849.14</v>
      </c>
      <c r="Q29" s="5">
        <f t="shared" si="3"/>
        <v>30.32642857</v>
      </c>
      <c r="R29" s="9">
        <f t="shared" si="4"/>
        <v>940.1192857</v>
      </c>
    </row>
    <row r="30">
      <c r="A30" s="39">
        <v>45723.0</v>
      </c>
      <c r="B30" s="4" t="s">
        <v>237</v>
      </c>
      <c r="C30" s="21">
        <v>2.0</v>
      </c>
      <c r="E30" s="19"/>
      <c r="F30" s="5"/>
      <c r="H30" s="19"/>
      <c r="N30" s="39">
        <v>45745.0</v>
      </c>
      <c r="O30" s="40">
        <f t="shared" si="5"/>
        <v>38.07</v>
      </c>
      <c r="P30" s="5">
        <f t="shared" si="6"/>
        <v>887.21</v>
      </c>
      <c r="Q30" s="5">
        <f t="shared" si="3"/>
        <v>30.59344828</v>
      </c>
      <c r="R30" s="9">
        <f t="shared" si="4"/>
        <v>948.3968966</v>
      </c>
    </row>
    <row r="31">
      <c r="A31" s="39">
        <v>45723.0</v>
      </c>
      <c r="B31" s="4" t="s">
        <v>47</v>
      </c>
      <c r="C31" s="21">
        <v>3.75</v>
      </c>
      <c r="E31" s="19"/>
      <c r="F31" s="5"/>
      <c r="H31" s="19"/>
      <c r="N31" s="39">
        <v>45746.0</v>
      </c>
      <c r="O31" s="40">
        <f t="shared" si="5"/>
        <v>37.39</v>
      </c>
      <c r="P31" s="5">
        <f t="shared" si="6"/>
        <v>924.6</v>
      </c>
      <c r="Q31" s="5">
        <f t="shared" si="3"/>
        <v>30.82</v>
      </c>
      <c r="R31" s="9">
        <f t="shared" si="4"/>
        <v>955.42</v>
      </c>
    </row>
    <row r="32">
      <c r="A32" s="39">
        <v>45723.0</v>
      </c>
      <c r="B32" s="4" t="s">
        <v>57</v>
      </c>
      <c r="C32" s="21">
        <v>4.9</v>
      </c>
      <c r="E32" s="19"/>
      <c r="F32" s="5"/>
      <c r="H32" s="19"/>
      <c r="N32" s="39">
        <v>45747.0</v>
      </c>
      <c r="O32" s="40">
        <f t="shared" si="5"/>
        <v>29.47</v>
      </c>
      <c r="P32" s="5">
        <f t="shared" si="6"/>
        <v>954.07</v>
      </c>
      <c r="Q32" s="5">
        <f t="shared" si="3"/>
        <v>30.77645161</v>
      </c>
      <c r="R32" s="9">
        <f t="shared" si="4"/>
        <v>954.07</v>
      </c>
    </row>
    <row r="33">
      <c r="A33" s="39">
        <v>45724.0</v>
      </c>
      <c r="B33" s="4" t="s">
        <v>66</v>
      </c>
      <c r="C33" s="4">
        <v>10.82</v>
      </c>
      <c r="E33" s="19"/>
      <c r="F33" s="5"/>
      <c r="H33" s="19"/>
      <c r="N33" s="39"/>
      <c r="Q33" s="5"/>
      <c r="R33" s="9"/>
    </row>
    <row r="34">
      <c r="A34" s="39">
        <v>45724.0</v>
      </c>
      <c r="B34" s="4" t="s">
        <v>246</v>
      </c>
      <c r="C34" s="21">
        <v>2.0</v>
      </c>
      <c r="E34" s="19"/>
      <c r="F34" s="5"/>
      <c r="H34" s="19"/>
      <c r="Q34" s="5"/>
      <c r="R34" s="9"/>
    </row>
    <row r="35">
      <c r="A35" s="39">
        <v>45724.0</v>
      </c>
      <c r="B35" s="4" t="s">
        <v>52</v>
      </c>
      <c r="C35" s="4">
        <v>2.99</v>
      </c>
      <c r="E35" s="19"/>
      <c r="F35" s="5"/>
      <c r="H35" s="19"/>
      <c r="Q35" s="5"/>
      <c r="R35" s="9"/>
    </row>
    <row r="36">
      <c r="A36" s="39">
        <v>45724.0</v>
      </c>
      <c r="B36" s="4" t="s">
        <v>45</v>
      </c>
      <c r="C36" s="21">
        <f>sum(5.2,6.7,5.2,10.4,15.6)</f>
        <v>43.1</v>
      </c>
      <c r="E36" s="19"/>
      <c r="F36" s="5"/>
      <c r="H36" s="19"/>
      <c r="Q36" s="5"/>
      <c r="R36" s="9"/>
    </row>
    <row r="37">
      <c r="A37" s="39">
        <v>45725.0</v>
      </c>
      <c r="B37" s="4" t="s">
        <v>52</v>
      </c>
      <c r="C37" s="21">
        <v>8.67</v>
      </c>
      <c r="E37" s="19"/>
      <c r="F37" s="5"/>
      <c r="H37" s="19"/>
      <c r="Q37" s="5"/>
      <c r="R37" s="9"/>
    </row>
    <row r="38">
      <c r="A38" s="39">
        <v>45725.0</v>
      </c>
      <c r="B38" s="4" t="s">
        <v>247</v>
      </c>
      <c r="C38" s="21">
        <v>8.0</v>
      </c>
      <c r="E38" s="19"/>
      <c r="F38" s="5"/>
      <c r="H38" s="19"/>
      <c r="Q38" s="5"/>
      <c r="R38" s="9"/>
    </row>
    <row r="39">
      <c r="A39" s="39">
        <v>45725.0</v>
      </c>
      <c r="B39" s="4" t="s">
        <v>76</v>
      </c>
      <c r="C39" s="21">
        <v>10.8</v>
      </c>
      <c r="E39" s="19"/>
      <c r="F39" s="5"/>
      <c r="H39" s="19"/>
      <c r="Q39" s="5"/>
      <c r="R39" s="9"/>
    </row>
    <row r="40">
      <c r="A40" s="39">
        <v>45725.0</v>
      </c>
      <c r="B40" s="4" t="s">
        <v>57</v>
      </c>
      <c r="C40" s="21">
        <v>1.29</v>
      </c>
      <c r="E40" s="19"/>
      <c r="F40" s="5"/>
      <c r="H40" s="19"/>
      <c r="Q40" s="5"/>
      <c r="R40" s="9"/>
    </row>
    <row r="41">
      <c r="A41" s="39">
        <v>45725.0</v>
      </c>
      <c r="B41" s="4" t="s">
        <v>212</v>
      </c>
      <c r="C41" s="21">
        <v>9.99</v>
      </c>
      <c r="E41" s="19"/>
      <c r="F41" s="5"/>
      <c r="H41" s="19"/>
      <c r="Q41" s="5"/>
      <c r="R41" s="9"/>
    </row>
    <row r="42">
      <c r="A42" s="39">
        <v>45725.0</v>
      </c>
      <c r="B42" s="4" t="s">
        <v>140</v>
      </c>
      <c r="C42" s="21">
        <v>33.0</v>
      </c>
      <c r="E42" s="19"/>
      <c r="F42" s="5"/>
      <c r="H42" s="19"/>
      <c r="Q42" s="5"/>
      <c r="R42" s="9"/>
    </row>
    <row r="43">
      <c r="A43" s="39">
        <v>45726.0</v>
      </c>
      <c r="B43" s="4" t="s">
        <v>209</v>
      </c>
      <c r="C43" s="21">
        <v>3.0</v>
      </c>
      <c r="E43" s="19"/>
      <c r="F43" s="5"/>
      <c r="H43" s="19"/>
      <c r="Q43" s="5"/>
      <c r="R43" s="9"/>
    </row>
    <row r="44">
      <c r="A44" s="39">
        <v>45726.0</v>
      </c>
      <c r="B44" s="4" t="s">
        <v>57</v>
      </c>
      <c r="C44" s="21">
        <v>4.9</v>
      </c>
      <c r="E44" s="19"/>
      <c r="F44" s="5"/>
      <c r="H44" s="19"/>
      <c r="Q44" s="5"/>
      <c r="R44" s="9"/>
    </row>
    <row r="45">
      <c r="A45" s="39">
        <v>45726.0</v>
      </c>
      <c r="B45" s="4" t="s">
        <v>246</v>
      </c>
      <c r="C45" s="21">
        <v>7.55</v>
      </c>
      <c r="E45" s="19"/>
      <c r="F45" s="5"/>
      <c r="H45" s="19"/>
      <c r="Q45" s="5"/>
      <c r="R45" s="9"/>
    </row>
    <row r="46">
      <c r="A46" s="39">
        <v>45726.0</v>
      </c>
      <c r="B46" s="4" t="s">
        <v>131</v>
      </c>
      <c r="C46" s="21">
        <v>19.99</v>
      </c>
      <c r="E46" s="19"/>
      <c r="F46" s="5"/>
      <c r="H46" s="19"/>
      <c r="Q46" s="5"/>
      <c r="R46" s="9"/>
    </row>
    <row r="47">
      <c r="A47" s="39">
        <v>45727.0</v>
      </c>
      <c r="B47" s="4" t="s">
        <v>47</v>
      </c>
      <c r="C47" s="21">
        <v>10.75</v>
      </c>
      <c r="E47" s="19"/>
      <c r="F47" s="5"/>
      <c r="H47" s="19"/>
      <c r="Q47" s="5"/>
      <c r="R47" s="9"/>
    </row>
    <row r="48">
      <c r="A48" s="39">
        <v>45727.0</v>
      </c>
      <c r="B48" s="4" t="s">
        <v>246</v>
      </c>
      <c r="C48" s="21">
        <v>1.75</v>
      </c>
      <c r="E48" s="19"/>
      <c r="F48" s="5"/>
      <c r="H48" s="19"/>
      <c r="Q48" s="5"/>
      <c r="R48" s="9"/>
    </row>
    <row r="49">
      <c r="A49" s="39">
        <v>45728.0</v>
      </c>
      <c r="B49" s="4" t="s">
        <v>66</v>
      </c>
      <c r="C49" s="21">
        <v>5.31</v>
      </c>
      <c r="E49" s="19"/>
      <c r="F49" s="5"/>
      <c r="H49" s="19"/>
      <c r="Q49" s="5"/>
      <c r="R49" s="9"/>
    </row>
    <row r="50">
      <c r="A50" s="39">
        <v>45728.0</v>
      </c>
      <c r="B50" s="4" t="s">
        <v>57</v>
      </c>
      <c r="C50" s="21">
        <v>4.9</v>
      </c>
      <c r="E50" s="19"/>
      <c r="F50" s="5"/>
      <c r="H50" s="19"/>
      <c r="Q50" s="5"/>
      <c r="R50" s="9"/>
    </row>
    <row r="51">
      <c r="A51" s="39">
        <v>45729.0</v>
      </c>
      <c r="B51" s="4" t="s">
        <v>62</v>
      </c>
      <c r="C51" s="21">
        <v>3.6</v>
      </c>
      <c r="E51" s="19"/>
      <c r="F51" s="5"/>
      <c r="H51" s="19"/>
      <c r="Q51" s="5"/>
      <c r="R51" s="9"/>
    </row>
    <row r="52">
      <c r="A52" s="39">
        <v>45729.0</v>
      </c>
      <c r="B52" s="4" t="s">
        <v>76</v>
      </c>
      <c r="C52" s="21">
        <v>0.99</v>
      </c>
      <c r="E52" s="19"/>
      <c r="F52" s="5"/>
      <c r="H52" s="19"/>
      <c r="Q52" s="5"/>
      <c r="R52" s="9"/>
    </row>
    <row r="53">
      <c r="A53" s="39">
        <v>45729.0</v>
      </c>
      <c r="B53" s="4" t="s">
        <v>140</v>
      </c>
      <c r="C53" s="21">
        <v>10.85</v>
      </c>
      <c r="E53" s="19"/>
      <c r="F53" s="5"/>
      <c r="H53" s="19"/>
      <c r="Q53" s="5"/>
      <c r="R53" s="9"/>
    </row>
    <row r="54">
      <c r="A54" s="39">
        <v>45729.0</v>
      </c>
      <c r="B54" s="4" t="s">
        <v>69</v>
      </c>
      <c r="C54" s="21">
        <v>2.56</v>
      </c>
      <c r="E54" s="19"/>
      <c r="F54" s="5"/>
      <c r="H54" s="19"/>
      <c r="Q54" s="5"/>
      <c r="R54" s="9"/>
    </row>
    <row r="55">
      <c r="A55" s="39">
        <v>45729.0</v>
      </c>
      <c r="B55" s="4" t="s">
        <v>47</v>
      </c>
      <c r="C55" s="21">
        <v>4.7</v>
      </c>
      <c r="E55" s="19"/>
      <c r="F55" s="5"/>
      <c r="H55" s="19"/>
      <c r="Q55" s="5"/>
      <c r="R55" s="9"/>
    </row>
    <row r="56">
      <c r="A56" s="39">
        <v>45730.0</v>
      </c>
      <c r="B56" s="4" t="s">
        <v>246</v>
      </c>
      <c r="C56" s="4">
        <v>7.0</v>
      </c>
      <c r="E56" s="19"/>
      <c r="F56" s="5"/>
      <c r="H56" s="19"/>
      <c r="Q56" s="5"/>
      <c r="R56" s="9"/>
    </row>
    <row r="57">
      <c r="A57" s="39">
        <v>45730.0</v>
      </c>
      <c r="B57" s="4" t="s">
        <v>195</v>
      </c>
      <c r="C57" s="43">
        <v>9.0</v>
      </c>
      <c r="E57" s="19"/>
      <c r="F57" s="5"/>
      <c r="H57" s="19"/>
      <c r="Q57" s="5"/>
      <c r="R57" s="9"/>
    </row>
    <row r="58">
      <c r="A58" s="39">
        <v>45730.0</v>
      </c>
      <c r="B58" s="4" t="s">
        <v>210</v>
      </c>
      <c r="C58" s="21">
        <v>25.61</v>
      </c>
      <c r="E58" s="19"/>
      <c r="F58" s="5"/>
      <c r="H58" s="19"/>
      <c r="Q58" s="5"/>
      <c r="R58" s="9"/>
    </row>
    <row r="59">
      <c r="A59" s="39">
        <v>45730.0</v>
      </c>
      <c r="B59" s="4" t="s">
        <v>140</v>
      </c>
      <c r="C59" s="21">
        <v>8.0</v>
      </c>
      <c r="E59" s="19"/>
      <c r="F59" s="5"/>
      <c r="H59" s="19"/>
      <c r="Q59" s="5"/>
      <c r="R59" s="9"/>
    </row>
    <row r="60">
      <c r="A60" s="39">
        <v>45730.0</v>
      </c>
      <c r="B60" s="4" t="s">
        <v>45</v>
      </c>
      <c r="C60" s="21">
        <f>6.5+13</f>
        <v>19.5</v>
      </c>
      <c r="E60" s="19"/>
      <c r="F60" s="5"/>
      <c r="H60" s="19"/>
      <c r="Q60" s="5"/>
      <c r="R60" s="9"/>
    </row>
    <row r="61">
      <c r="A61" s="39">
        <v>45730.0</v>
      </c>
      <c r="B61" s="4" t="s">
        <v>131</v>
      </c>
      <c r="C61" s="21">
        <v>14.62</v>
      </c>
      <c r="E61" s="19"/>
      <c r="F61" s="5"/>
      <c r="H61" s="19"/>
      <c r="Q61" s="5"/>
      <c r="R61" s="9"/>
    </row>
    <row r="62">
      <c r="A62" s="39">
        <v>45731.0</v>
      </c>
      <c r="B62" s="4" t="s">
        <v>76</v>
      </c>
      <c r="C62" s="21">
        <v>7.8</v>
      </c>
      <c r="E62" s="19"/>
      <c r="F62" s="5"/>
      <c r="H62" s="19"/>
      <c r="Q62" s="5"/>
      <c r="R62" s="9"/>
    </row>
    <row r="63">
      <c r="A63" s="39">
        <v>45731.0</v>
      </c>
      <c r="B63" s="4" t="s">
        <v>66</v>
      </c>
      <c r="C63" s="21">
        <v>4.2</v>
      </c>
      <c r="E63" s="19"/>
      <c r="F63" s="5"/>
      <c r="H63" s="19"/>
      <c r="Q63" s="5"/>
      <c r="R63" s="9"/>
    </row>
    <row r="64">
      <c r="A64" s="39">
        <v>45731.0</v>
      </c>
      <c r="B64" s="4" t="s">
        <v>45</v>
      </c>
      <c r="C64" s="21">
        <v>6.5</v>
      </c>
      <c r="E64" s="19"/>
      <c r="F64" s="5"/>
      <c r="H64" s="19"/>
      <c r="Q64" s="5"/>
      <c r="R64" s="9"/>
    </row>
    <row r="65">
      <c r="A65" s="39">
        <v>45731.0</v>
      </c>
      <c r="B65" s="4" t="s">
        <v>246</v>
      </c>
      <c r="C65" s="21">
        <v>2.0</v>
      </c>
      <c r="E65" s="19"/>
      <c r="F65" s="5"/>
      <c r="H65" s="19"/>
      <c r="Q65" s="5"/>
      <c r="R65" s="9"/>
    </row>
    <row r="66">
      <c r="A66" s="39">
        <v>45731.0</v>
      </c>
      <c r="B66" s="4" t="s">
        <v>56</v>
      </c>
      <c r="C66" s="21">
        <v>8.0</v>
      </c>
      <c r="E66" s="19"/>
      <c r="F66" s="5"/>
      <c r="H66" s="19"/>
      <c r="Q66" s="5"/>
      <c r="R66" s="9"/>
    </row>
    <row r="67">
      <c r="A67" s="39">
        <v>45731.0</v>
      </c>
      <c r="B67" s="4" t="s">
        <v>45</v>
      </c>
      <c r="C67" s="21">
        <v>42.0</v>
      </c>
      <c r="E67" s="19"/>
      <c r="F67" s="5"/>
      <c r="H67" s="19"/>
      <c r="Q67" s="5"/>
      <c r="R67" s="9"/>
    </row>
    <row r="68">
      <c r="A68" s="39">
        <v>45732.0</v>
      </c>
      <c r="B68" s="4" t="s">
        <v>73</v>
      </c>
      <c r="C68" s="21">
        <v>9.96</v>
      </c>
      <c r="E68" s="19"/>
      <c r="F68" s="5"/>
      <c r="H68" s="19"/>
      <c r="Q68" s="5"/>
      <c r="R68" s="9"/>
    </row>
    <row r="69">
      <c r="A69" s="39">
        <v>45732.0</v>
      </c>
      <c r="B69" s="4" t="s">
        <v>52</v>
      </c>
      <c r="C69" s="21">
        <v>13.2</v>
      </c>
      <c r="E69" s="19"/>
      <c r="F69" s="5"/>
      <c r="H69" s="19"/>
      <c r="Q69" s="5"/>
      <c r="R69" s="9"/>
    </row>
    <row r="70">
      <c r="A70" s="39">
        <v>45732.0</v>
      </c>
      <c r="B70" s="4" t="s">
        <v>246</v>
      </c>
      <c r="C70" s="21">
        <v>1.75</v>
      </c>
      <c r="E70" s="19"/>
      <c r="F70" s="5"/>
      <c r="H70" s="19"/>
      <c r="Q70" s="5"/>
      <c r="R70" s="9"/>
    </row>
    <row r="71">
      <c r="A71" s="39">
        <v>45732.0</v>
      </c>
      <c r="B71" s="4" t="s">
        <v>249</v>
      </c>
      <c r="C71" s="21">
        <v>28.33</v>
      </c>
      <c r="E71" s="19"/>
      <c r="F71" s="5"/>
      <c r="H71" s="19"/>
      <c r="Q71" s="5"/>
      <c r="R71" s="9"/>
    </row>
    <row r="72">
      <c r="A72" s="39">
        <v>45733.0</v>
      </c>
      <c r="B72" s="4" t="s">
        <v>47</v>
      </c>
      <c r="C72" s="21">
        <v>3.7</v>
      </c>
      <c r="E72" s="19"/>
      <c r="F72" s="5"/>
      <c r="H72" s="19"/>
      <c r="Q72" s="5"/>
      <c r="R72" s="9"/>
    </row>
    <row r="73">
      <c r="A73" s="39">
        <v>45733.0</v>
      </c>
      <c r="B73" s="4" t="s">
        <v>52</v>
      </c>
      <c r="C73" s="21">
        <v>7.4</v>
      </c>
      <c r="E73" s="19"/>
      <c r="F73" s="5"/>
      <c r="H73" s="19"/>
      <c r="Q73" s="5"/>
      <c r="R73" s="9"/>
    </row>
    <row r="74">
      <c r="A74" s="39">
        <v>45733.0</v>
      </c>
      <c r="B74" s="4" t="s">
        <v>57</v>
      </c>
      <c r="C74" s="21">
        <v>4.9</v>
      </c>
      <c r="E74" s="19"/>
      <c r="F74" s="5"/>
      <c r="H74" s="19"/>
      <c r="Q74" s="5"/>
      <c r="R74" s="9"/>
    </row>
    <row r="75">
      <c r="A75" s="39">
        <v>45734.0</v>
      </c>
      <c r="B75" s="4" t="s">
        <v>47</v>
      </c>
      <c r="C75" s="21">
        <v>9.2</v>
      </c>
      <c r="E75" s="19"/>
      <c r="F75" s="5"/>
      <c r="H75" s="19"/>
      <c r="Q75" s="5"/>
      <c r="R75" s="9"/>
    </row>
    <row r="76">
      <c r="A76" s="39">
        <v>45735.0</v>
      </c>
      <c r="B76" s="4" t="s">
        <v>47</v>
      </c>
      <c r="C76" s="21">
        <f>2.85+5.11</f>
        <v>7.96</v>
      </c>
      <c r="E76" s="19"/>
      <c r="F76" s="5"/>
      <c r="H76" s="19"/>
      <c r="Q76" s="5"/>
      <c r="R76" s="9"/>
    </row>
    <row r="77">
      <c r="A77" s="39">
        <v>45735.0</v>
      </c>
      <c r="B77" s="4" t="s">
        <v>228</v>
      </c>
      <c r="C77" s="21">
        <v>21.21</v>
      </c>
      <c r="E77" s="19"/>
      <c r="F77" s="5"/>
      <c r="H77" s="19"/>
      <c r="Q77" s="5"/>
      <c r="R77" s="9"/>
    </row>
    <row r="78">
      <c r="A78" s="39">
        <v>45736.0</v>
      </c>
      <c r="B78" s="4" t="s">
        <v>47</v>
      </c>
      <c r="C78" s="21">
        <v>4.5</v>
      </c>
      <c r="E78" s="19"/>
      <c r="F78" s="5"/>
      <c r="H78" s="19"/>
      <c r="Q78" s="5"/>
      <c r="R78" s="9"/>
    </row>
    <row r="79">
      <c r="A79" s="39">
        <v>45736.0</v>
      </c>
      <c r="B79" s="4" t="s">
        <v>59</v>
      </c>
      <c r="C79" s="21">
        <v>6.0</v>
      </c>
      <c r="E79" s="19"/>
      <c r="F79" s="5"/>
      <c r="H79" s="19"/>
      <c r="Q79" s="5"/>
      <c r="R79" s="9"/>
    </row>
    <row r="80">
      <c r="A80" s="39">
        <v>45737.0</v>
      </c>
      <c r="B80" s="4" t="s">
        <v>47</v>
      </c>
      <c r="C80" s="4">
        <v>4.35</v>
      </c>
      <c r="E80" s="19"/>
      <c r="F80" s="5"/>
      <c r="H80" s="19"/>
      <c r="Q80" s="5"/>
      <c r="R80" s="9"/>
    </row>
    <row r="81">
      <c r="A81" s="39">
        <v>45737.0</v>
      </c>
      <c r="B81" s="4" t="s">
        <v>66</v>
      </c>
      <c r="C81" s="21">
        <v>1.85</v>
      </c>
      <c r="E81" s="19"/>
      <c r="F81" s="5"/>
      <c r="H81" s="19"/>
      <c r="Q81" s="5"/>
      <c r="R81" s="9"/>
    </row>
    <row r="82">
      <c r="A82" s="39">
        <v>45737.0</v>
      </c>
      <c r="B82" s="4" t="s">
        <v>59</v>
      </c>
      <c r="C82" s="21">
        <v>17.45</v>
      </c>
      <c r="E82" s="19"/>
      <c r="F82" s="5"/>
      <c r="H82" s="19"/>
      <c r="Q82" s="5"/>
      <c r="R82" s="9"/>
    </row>
    <row r="83">
      <c r="A83" s="39">
        <v>45737.0</v>
      </c>
      <c r="B83" s="4" t="s">
        <v>47</v>
      </c>
      <c r="C83" s="21">
        <v>3.75</v>
      </c>
      <c r="E83" s="19"/>
      <c r="F83" s="5"/>
      <c r="H83" s="19"/>
      <c r="Q83" s="5"/>
      <c r="R83" s="9"/>
    </row>
    <row r="84">
      <c r="A84" s="39">
        <v>45738.0</v>
      </c>
      <c r="B84" s="4" t="s">
        <v>52</v>
      </c>
      <c r="C84" s="21">
        <f>31.84-14.57</f>
        <v>17.27</v>
      </c>
      <c r="E84" s="19"/>
      <c r="F84" s="5"/>
      <c r="H84" s="19"/>
      <c r="Q84" s="5"/>
      <c r="R84" s="9"/>
    </row>
    <row r="85">
      <c r="A85" s="39">
        <v>45739.0</v>
      </c>
      <c r="B85" s="4" t="s">
        <v>66</v>
      </c>
      <c r="C85" s="21">
        <v>18.2</v>
      </c>
      <c r="E85" s="19"/>
      <c r="F85" s="5"/>
      <c r="H85" s="19"/>
      <c r="Q85" s="5"/>
      <c r="R85" s="9"/>
    </row>
    <row r="86">
      <c r="A86" s="39">
        <v>45741.0</v>
      </c>
      <c r="B86" s="4" t="s">
        <v>66</v>
      </c>
      <c r="C86" s="21">
        <v>1.1</v>
      </c>
      <c r="E86" s="19"/>
      <c r="F86" s="5"/>
      <c r="H86" s="19"/>
      <c r="Q86" s="5"/>
      <c r="R86" s="9"/>
    </row>
    <row r="87">
      <c r="A87" s="39">
        <v>45742.0</v>
      </c>
      <c r="B87" s="4" t="s">
        <v>66</v>
      </c>
      <c r="C87" s="21">
        <v>3.95</v>
      </c>
      <c r="E87" s="19"/>
      <c r="F87" s="5"/>
      <c r="H87" s="19"/>
      <c r="Q87" s="5"/>
      <c r="R87" s="9"/>
    </row>
    <row r="88">
      <c r="A88" s="39">
        <v>45742.0</v>
      </c>
      <c r="B88" s="4" t="s">
        <v>250</v>
      </c>
      <c r="C88" s="21">
        <v>18.2</v>
      </c>
      <c r="E88" s="19"/>
      <c r="F88" s="5"/>
      <c r="H88" s="19"/>
      <c r="Q88" s="5"/>
      <c r="R88" s="9"/>
    </row>
    <row r="89">
      <c r="A89" s="39">
        <v>45742.0</v>
      </c>
      <c r="B89" s="4" t="s">
        <v>212</v>
      </c>
      <c r="C89" s="21">
        <v>16.99</v>
      </c>
      <c r="E89" s="19"/>
      <c r="F89" s="5"/>
      <c r="H89" s="19"/>
      <c r="Q89" s="5"/>
      <c r="R89" s="9"/>
    </row>
    <row r="90">
      <c r="A90" s="39">
        <v>45744.0</v>
      </c>
      <c r="B90" s="4" t="s">
        <v>246</v>
      </c>
      <c r="C90" s="21">
        <v>4.9</v>
      </c>
      <c r="E90" s="19"/>
      <c r="F90" s="5"/>
      <c r="H90" s="19"/>
      <c r="Q90" s="5"/>
      <c r="R90" s="9"/>
    </row>
    <row r="91">
      <c r="A91" s="39">
        <v>45745.0</v>
      </c>
      <c r="B91" s="4" t="s">
        <v>251</v>
      </c>
      <c r="C91" s="21">
        <v>26.25</v>
      </c>
      <c r="E91" s="19"/>
      <c r="F91" s="5"/>
      <c r="H91" s="19"/>
      <c r="Q91" s="5"/>
      <c r="R91" s="9"/>
    </row>
    <row r="92">
      <c r="A92" s="39">
        <v>45745.0</v>
      </c>
      <c r="B92" s="4" t="s">
        <v>250</v>
      </c>
      <c r="C92" s="21">
        <v>11.82</v>
      </c>
      <c r="E92" s="19"/>
      <c r="F92" s="5"/>
      <c r="H92" s="19"/>
      <c r="Q92" s="5"/>
      <c r="R92" s="9"/>
    </row>
    <row r="93">
      <c r="A93" s="39">
        <v>45746.0</v>
      </c>
      <c r="B93" s="4" t="s">
        <v>131</v>
      </c>
      <c r="C93" s="21">
        <v>11.75</v>
      </c>
      <c r="E93" s="19"/>
      <c r="F93" s="5"/>
      <c r="H93" s="19"/>
      <c r="Q93" s="5"/>
      <c r="R93" s="9"/>
    </row>
    <row r="94">
      <c r="A94" s="39">
        <v>45746.0</v>
      </c>
      <c r="B94" s="4" t="s">
        <v>47</v>
      </c>
      <c r="C94" s="21">
        <v>25.64</v>
      </c>
      <c r="E94" s="19"/>
      <c r="F94" s="5"/>
      <c r="H94" s="19"/>
      <c r="Q94" s="5"/>
      <c r="R94" s="9"/>
    </row>
    <row r="95">
      <c r="A95" s="39">
        <v>45747.0</v>
      </c>
      <c r="B95" s="4" t="s">
        <v>57</v>
      </c>
      <c r="C95" s="21">
        <v>4.9</v>
      </c>
      <c r="E95" s="19"/>
      <c r="F95" s="5"/>
      <c r="H95" s="19"/>
      <c r="Q95" s="5"/>
      <c r="R95" s="9"/>
    </row>
    <row r="96">
      <c r="A96" s="39">
        <v>45747.0</v>
      </c>
      <c r="B96" s="4" t="s">
        <v>64</v>
      </c>
      <c r="C96" s="21">
        <v>19.5</v>
      </c>
      <c r="E96" s="19"/>
      <c r="F96" s="5"/>
      <c r="H96" s="19"/>
      <c r="Q96" s="5"/>
      <c r="R96" s="9"/>
    </row>
    <row r="97">
      <c r="A97" s="39">
        <v>45747.0</v>
      </c>
      <c r="B97" s="4" t="s">
        <v>69</v>
      </c>
      <c r="C97" s="21">
        <v>5.07</v>
      </c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V2">
    <cfRule type="cellIs" dxfId="2" priority="1" operator="greaterThan">
      <formula>0</formula>
    </cfRule>
  </conditionalFormatting>
  <conditionalFormatting sqref="V2">
    <cfRule type="cellIs" dxfId="3" priority="2" operator="lessThan">
      <formula>0</formula>
    </cfRule>
  </conditionalFormatting>
  <conditionalFormatting sqref="N1 N33">
    <cfRule type="timePeriod" dxfId="4" priority="3" timePeriod="today"/>
  </conditionalFormatting>
  <conditionalFormatting sqref="N1 N33:N999">
    <cfRule type="timePeriod" dxfId="5" priority="4" timePeriod="today"/>
  </conditionalFormatting>
  <conditionalFormatting sqref="O1:O999 Q1:Q999">
    <cfRule type="cellIs" dxfId="0" priority="5" operator="lessThan">
      <formula>25</formula>
    </cfRule>
  </conditionalFormatting>
  <conditionalFormatting sqref="O1:O999 Q1:Q999">
    <cfRule type="cellIs" dxfId="6" priority="6" operator="lessThan">
      <formula>35</formula>
    </cfRule>
  </conditionalFormatting>
  <conditionalFormatting sqref="O1:O999 Q1:Q999">
    <cfRule type="cellIs" dxfId="1" priority="7" operator="greaterThanOrEqual">
      <formula>35</formula>
    </cfRule>
  </conditionalFormatting>
  <conditionalFormatting sqref="I1">
    <cfRule type="cellIs" dxfId="1" priority="8" operator="lessThan">
      <formula>0</formula>
    </cfRule>
  </conditionalFormatting>
  <conditionalFormatting sqref="I1">
    <cfRule type="cellIs" dxfId="0" priority="9" operator="greaterThan">
      <formula>0</formula>
    </cfRule>
  </conditionalFormatting>
  <conditionalFormatting sqref="B1:B999">
    <cfRule type="expression" dxfId="2" priority="10">
      <formula>COUNTIF($E$1:$E$999, B1) &gt; 0</formula>
    </cfRule>
  </conditionalFormatting>
  <conditionalFormatting sqref="B1:B999">
    <cfRule type="expression" dxfId="2" priority="11">
      <formula>COUNTIF($K$1:$K$999, B1) &gt; 0</formula>
    </cfRule>
  </conditionalFormatting>
  <conditionalFormatting sqref="B1:B999">
    <cfRule type="expression" dxfId="2" priority="12">
      <formula>SUMPRODUCT(--ISNUMBER(SEARCH($E$1:$E$14, B1))) &gt; 0</formula>
    </cfRule>
  </conditionalFormatting>
  <conditionalFormatting sqref="E19">
    <cfRule type="notContainsBlanks" dxfId="0" priority="13">
      <formula>LEN(TRIM(E19))&gt;0</formula>
    </cfRule>
  </conditionalFormatting>
  <conditionalFormatting sqref="B1:B999">
    <cfRule type="expression" dxfId="2" priority="14">
      <formula>COUNTIF($H$2:$H$3, B1) &gt; 0</formula>
    </cfRule>
  </conditionalFormatting>
  <conditionalFormatting sqref="U12">
    <cfRule type="cellIs" dxfId="0" priority="15" operator="lessThanOrEqual">
      <formula>U11</formula>
    </cfRule>
  </conditionalFormatting>
  <conditionalFormatting sqref="U12">
    <cfRule type="cellIs" dxfId="1" priority="16" operator="greaterThan">
      <formula>U11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77.03</v>
      </c>
      <c r="H1" s="1" t="s">
        <v>46</v>
      </c>
      <c r="I1" s="5">
        <f>I6-I7</f>
        <v>69.64</v>
      </c>
      <c r="J1" s="9" t="str">
        <f>I1/COUNTIF(N:N, "&gt;=" &amp; TODAY())</f>
        <v>#DIV/0!</v>
      </c>
      <c r="K1" s="1" t="s">
        <v>47</v>
      </c>
      <c r="L1" s="5">
        <f t="shared" ref="L1:L6" si="1">SUMIF(B:B,K1,C:I)</f>
        <v>146.89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" t="s">
        <v>233</v>
      </c>
      <c r="U1" s="1" t="s">
        <v>234</v>
      </c>
      <c r="V1" s="1" t="s">
        <v>235</v>
      </c>
      <c r="W1" s="19"/>
      <c r="X1" s="19"/>
      <c r="Y1" s="19"/>
      <c r="Z1" s="19"/>
    </row>
    <row r="2">
      <c r="A2" s="39">
        <v>45689.0</v>
      </c>
      <c r="B2" s="4" t="s">
        <v>8</v>
      </c>
      <c r="C2" s="21">
        <f>50+246.31</f>
        <v>296.31</v>
      </c>
      <c r="E2" s="1" t="s">
        <v>52</v>
      </c>
      <c r="F2" s="5">
        <f>SUMIF(B:B,"Deliveroo",C:C)+SUMIF(B:B,"Just eat",C:C)+SUMIF(B:B,"Uber eats",C:C)+SUMIF(B:B,E2,C:C)</f>
        <v>52.72</v>
      </c>
      <c r="H2" s="1" t="s">
        <v>6</v>
      </c>
      <c r="I2" s="5">
        <f>SUMIF(B:B,H2,C:C)</f>
        <v>950</v>
      </c>
      <c r="K2" s="1" t="s">
        <v>53</v>
      </c>
      <c r="L2" s="5">
        <f t="shared" si="1"/>
        <v>0</v>
      </c>
      <c r="N2" s="39">
        <v>45689.0</v>
      </c>
      <c r="O2" s="5">
        <f>sumif(A:A,N2,C:C)-sum(C2:C4)</f>
        <v>103.04</v>
      </c>
      <c r="P2" s="5">
        <f>SUM(O2)</f>
        <v>103.04</v>
      </c>
      <c r="Q2" s="5">
        <f t="shared" ref="Q2:Q29" si="2">P2/(ROW()-1)</f>
        <v>103.04</v>
      </c>
      <c r="R2" s="9">
        <f t="shared" ref="R2:R29" si="3">count(N:N)*Q2</f>
        <v>2885.12</v>
      </c>
      <c r="T2" s="9" t="str">
        <f>IFERROR(__xludf.DUMMYFUNCTION("(I1+(FILTER(O:O,N:N=TODAY()-1)))/(COUNTIF(N:N, ""&gt;="" &amp; TODAY())+1)"),"#N/A")</f>
        <v>#N/A</v>
      </c>
      <c r="U2" s="9" t="str">
        <f>I1/COUNTIF(N:N, "&gt;=" &amp; TODAY())</f>
        <v>#DIV/0!</v>
      </c>
      <c r="V2" s="40" t="str">
        <f>U2-T2</f>
        <v>#DIV/0!</v>
      </c>
    </row>
    <row r="3">
      <c r="A3" s="39">
        <v>45689.0</v>
      </c>
      <c r="B3" s="4" t="s">
        <v>54</v>
      </c>
      <c r="C3" s="41">
        <f>850+48.26+79.91</f>
        <v>978.17</v>
      </c>
      <c r="E3" s="1" t="s">
        <v>209</v>
      </c>
      <c r="F3" s="5">
        <f>SUMIF(B:B,"Pret",C:C)+SUMIF(B:B,"Breakfast",C:C)</f>
        <v>3</v>
      </c>
      <c r="H3" s="1" t="s">
        <v>8</v>
      </c>
      <c r="I3" s="5">
        <f>SUMIF(B:B,H3,C:C)+I1</f>
        <v>365.95</v>
      </c>
      <c r="K3" s="1" t="s">
        <v>56</v>
      </c>
      <c r="L3" s="5">
        <f t="shared" si="1"/>
        <v>1.25</v>
      </c>
      <c r="N3" s="39">
        <v>45690.0</v>
      </c>
      <c r="O3" s="40">
        <f t="shared" ref="O3:O29" si="4">sumif(A:A,N3,C:C)</f>
        <v>11.57</v>
      </c>
      <c r="P3" s="5">
        <f t="shared" ref="P3:P29" si="5">P2+O3</f>
        <v>114.61</v>
      </c>
      <c r="Q3" s="5">
        <f t="shared" si="2"/>
        <v>57.305</v>
      </c>
      <c r="R3" s="9">
        <f t="shared" si="3"/>
        <v>1604.54</v>
      </c>
    </row>
    <row r="4">
      <c r="A4" s="39">
        <v>45689.0</v>
      </c>
      <c r="B4" s="4" t="s">
        <v>6</v>
      </c>
      <c r="C4" s="21">
        <f>950</f>
        <v>950</v>
      </c>
      <c r="E4" s="1" t="s">
        <v>140</v>
      </c>
      <c r="F4" s="5">
        <f t="shared" ref="F4:F5" si="6">SUMIF(B:B,E4,C:C)</f>
        <v>70.04</v>
      </c>
      <c r="H4" s="1" t="s">
        <v>58</v>
      </c>
      <c r="I4" s="5">
        <f>I2+I3</f>
        <v>1315.95</v>
      </c>
      <c r="K4" s="1" t="s">
        <v>59</v>
      </c>
      <c r="L4" s="5">
        <f t="shared" si="1"/>
        <v>7.06</v>
      </c>
      <c r="N4" s="39">
        <v>45691.0</v>
      </c>
      <c r="O4" s="40">
        <f t="shared" si="4"/>
        <v>44.77</v>
      </c>
      <c r="P4" s="5">
        <f t="shared" si="5"/>
        <v>159.38</v>
      </c>
      <c r="Q4" s="5">
        <f t="shared" si="2"/>
        <v>53.12666667</v>
      </c>
      <c r="R4" s="9">
        <f t="shared" si="3"/>
        <v>1487.546667</v>
      </c>
    </row>
    <row r="5">
      <c r="A5" s="39">
        <v>45689.0</v>
      </c>
      <c r="B5" s="4" t="s">
        <v>252</v>
      </c>
      <c r="C5" s="21">
        <v>9.0</v>
      </c>
      <c r="E5" s="1" t="s">
        <v>210</v>
      </c>
      <c r="F5" s="5">
        <f t="shared" si="6"/>
        <v>76.01</v>
      </c>
      <c r="K5" s="1" t="s">
        <v>62</v>
      </c>
      <c r="L5" s="5">
        <f t="shared" si="1"/>
        <v>6.9</v>
      </c>
      <c r="N5" s="39">
        <v>45692.0</v>
      </c>
      <c r="O5" s="40">
        <f t="shared" si="4"/>
        <v>11.98</v>
      </c>
      <c r="P5" s="5">
        <f t="shared" si="5"/>
        <v>171.36</v>
      </c>
      <c r="Q5" s="5">
        <f t="shared" si="2"/>
        <v>42.84</v>
      </c>
      <c r="R5" s="9">
        <f t="shared" si="3"/>
        <v>1199.52</v>
      </c>
    </row>
    <row r="6">
      <c r="A6" s="39">
        <v>45689.0</v>
      </c>
      <c r="B6" s="4" t="s">
        <v>253</v>
      </c>
      <c r="C6" s="12">
        <v>21.99</v>
      </c>
      <c r="E6" s="1" t="s">
        <v>57</v>
      </c>
      <c r="F6" s="5">
        <f>sum(L:L)+sumif(B:B,"Groceries",C:C)</f>
        <v>261.39</v>
      </c>
      <c r="H6" s="1" t="s">
        <v>65</v>
      </c>
      <c r="I6" s="21">
        <f>3241.04+246.31</f>
        <v>3487.35</v>
      </c>
      <c r="K6" s="1" t="s">
        <v>66</v>
      </c>
      <c r="L6" s="5">
        <f t="shared" si="1"/>
        <v>37.73</v>
      </c>
      <c r="N6" s="39">
        <v>45693.0</v>
      </c>
      <c r="O6" s="40">
        <f t="shared" si="4"/>
        <v>20.14</v>
      </c>
      <c r="P6" s="5">
        <f t="shared" si="5"/>
        <v>191.5</v>
      </c>
      <c r="Q6" s="5">
        <f t="shared" si="2"/>
        <v>38.3</v>
      </c>
      <c r="R6" s="9">
        <f t="shared" si="3"/>
        <v>1072.4</v>
      </c>
    </row>
    <row r="7">
      <c r="A7" s="39">
        <v>45689.0</v>
      </c>
      <c r="B7" s="4" t="s">
        <v>254</v>
      </c>
      <c r="C7" s="21">
        <f>99/12</f>
        <v>8.25</v>
      </c>
      <c r="E7" s="42" t="s">
        <v>61</v>
      </c>
      <c r="F7" s="5">
        <f>SUMIF(B:B,"Games",C:C)+SUMIF(B:B,"Spotify",C:C)+SUMIF(B:B,"Streaming",C:C)+SUMIF(B:B,"Book",C:C)+SUMIF(B:B,"Audible",C:C)+SUMIF(B:B,"Cinema",C:C)+SUMIF(B:B,"Theatre",C:C)</f>
        <v>96.71</v>
      </c>
      <c r="H7" s="1" t="s">
        <v>68</v>
      </c>
      <c r="I7" s="5">
        <f>sum(C:C)</f>
        <v>3417.71</v>
      </c>
      <c r="N7" s="39">
        <v>45694.0</v>
      </c>
      <c r="O7" s="40">
        <f t="shared" si="4"/>
        <v>61.05</v>
      </c>
      <c r="P7" s="5">
        <f t="shared" si="5"/>
        <v>252.55</v>
      </c>
      <c r="Q7" s="5">
        <f t="shared" si="2"/>
        <v>42.09166667</v>
      </c>
      <c r="R7" s="9">
        <f t="shared" si="3"/>
        <v>1178.566667</v>
      </c>
    </row>
    <row r="8">
      <c r="A8" s="39">
        <v>45689.0</v>
      </c>
      <c r="B8" s="4" t="s">
        <v>127</v>
      </c>
      <c r="C8" s="21">
        <v>3.8</v>
      </c>
      <c r="E8" s="1" t="s">
        <v>64</v>
      </c>
      <c r="F8" s="5">
        <f>SUMIF(B:B,E8,C:C)+SUMIF(B:B,"Shoes",C:C)</f>
        <v>21.21</v>
      </c>
      <c r="H8" s="1" t="s">
        <v>72</v>
      </c>
      <c r="I8" s="5">
        <f>sum(F:F)+I2+C2</f>
        <v>3028.5</v>
      </c>
      <c r="N8" s="39">
        <v>45695.0</v>
      </c>
      <c r="O8" s="40">
        <f t="shared" si="4"/>
        <v>22.59</v>
      </c>
      <c r="P8" s="5">
        <f t="shared" si="5"/>
        <v>275.14</v>
      </c>
      <c r="Q8" s="5">
        <f t="shared" si="2"/>
        <v>39.30571429</v>
      </c>
      <c r="R8" s="9">
        <f t="shared" si="3"/>
        <v>1100.56</v>
      </c>
    </row>
    <row r="9">
      <c r="A9" s="39">
        <v>45689.0</v>
      </c>
      <c r="B9" s="4" t="s">
        <v>52</v>
      </c>
      <c r="C9" s="4">
        <v>19.38</v>
      </c>
      <c r="E9" s="1" t="s">
        <v>54</v>
      </c>
      <c r="F9" s="5">
        <f>SUMIF(B:B,E9,C:C)+SUMIF(B:B,"Phone",C:C)</f>
        <v>987.17</v>
      </c>
      <c r="H9" s="1" t="s">
        <v>74</v>
      </c>
      <c r="I9" s="5">
        <f>I7-I8</f>
        <v>389.21</v>
      </c>
      <c r="N9" s="39">
        <v>45696.0</v>
      </c>
      <c r="O9" s="40">
        <f t="shared" si="4"/>
        <v>52.42</v>
      </c>
      <c r="P9" s="5">
        <f t="shared" si="5"/>
        <v>327.56</v>
      </c>
      <c r="Q9" s="5">
        <f t="shared" si="2"/>
        <v>40.945</v>
      </c>
      <c r="R9" s="9">
        <f t="shared" si="3"/>
        <v>1146.46</v>
      </c>
    </row>
    <row r="10">
      <c r="A10" s="39">
        <v>45689.0</v>
      </c>
      <c r="B10" s="4" t="s">
        <v>45</v>
      </c>
      <c r="C10" s="4">
        <v>6.7</v>
      </c>
      <c r="E10" s="1" t="s">
        <v>127</v>
      </c>
      <c r="F10" s="5">
        <f>SUMIF(B:B,E10,C:C)</f>
        <v>70.15</v>
      </c>
      <c r="N10" s="39">
        <v>45697.0</v>
      </c>
      <c r="O10" s="40">
        <f t="shared" si="4"/>
        <v>49.4</v>
      </c>
      <c r="P10" s="5">
        <f t="shared" si="5"/>
        <v>376.96</v>
      </c>
      <c r="Q10" s="5">
        <f t="shared" si="2"/>
        <v>41.88444444</v>
      </c>
      <c r="R10" s="9">
        <f t="shared" si="3"/>
        <v>1172.764444</v>
      </c>
    </row>
    <row r="11">
      <c r="A11" s="39">
        <v>45689.0</v>
      </c>
      <c r="B11" s="4" t="s">
        <v>47</v>
      </c>
      <c r="C11" s="21">
        <v>6.0</v>
      </c>
      <c r="E11" s="1" t="s">
        <v>73</v>
      </c>
      <c r="F11" s="5">
        <f>SUMIF(B:B,"Uber",C:C)</f>
        <v>27.92</v>
      </c>
      <c r="H11" s="1" t="s">
        <v>3</v>
      </c>
      <c r="I11" s="28">
        <f>I4/I6</f>
        <v>0.3773495634</v>
      </c>
      <c r="N11" s="39">
        <v>45698.0</v>
      </c>
      <c r="O11" s="40">
        <f t="shared" si="4"/>
        <v>17.7</v>
      </c>
      <c r="P11" s="5">
        <f t="shared" si="5"/>
        <v>394.66</v>
      </c>
      <c r="Q11" s="5">
        <f t="shared" si="2"/>
        <v>39.466</v>
      </c>
      <c r="R11" s="9">
        <f t="shared" si="3"/>
        <v>1105.048</v>
      </c>
    </row>
    <row r="12">
      <c r="A12" s="39">
        <v>45689.0</v>
      </c>
      <c r="B12" s="4" t="s">
        <v>73</v>
      </c>
      <c r="C12" s="21">
        <v>27.92</v>
      </c>
      <c r="E12" s="1" t="s">
        <v>75</v>
      </c>
      <c r="F12" s="9">
        <f>SUMIF(B:B,"Gym",C:C)+SUMIF(B:B,"Climbing",C:C)+SUMIF(B:B,"Tennis",C:C)</f>
        <v>29.99</v>
      </c>
      <c r="N12" s="39">
        <v>45699.0</v>
      </c>
      <c r="O12" s="40">
        <f t="shared" si="4"/>
        <v>32.67</v>
      </c>
      <c r="P12" s="5">
        <f t="shared" si="5"/>
        <v>427.33</v>
      </c>
      <c r="Q12" s="5">
        <f t="shared" si="2"/>
        <v>38.84818182</v>
      </c>
      <c r="R12" s="9">
        <f t="shared" si="3"/>
        <v>1087.749091</v>
      </c>
    </row>
    <row r="13">
      <c r="A13" s="39">
        <v>45690.0</v>
      </c>
      <c r="B13" s="4" t="s">
        <v>47</v>
      </c>
      <c r="C13" s="21">
        <v>8.77</v>
      </c>
      <c r="E13" s="1" t="s">
        <v>76</v>
      </c>
      <c r="F13" s="5">
        <f>SUMIF(B:B,"Coffee",C:C)</f>
        <v>8.85</v>
      </c>
      <c r="N13" s="39">
        <v>45700.0</v>
      </c>
      <c r="O13" s="40">
        <f t="shared" si="4"/>
        <v>100.3</v>
      </c>
      <c r="P13" s="5">
        <f t="shared" si="5"/>
        <v>527.63</v>
      </c>
      <c r="Q13" s="5">
        <f t="shared" si="2"/>
        <v>43.96916667</v>
      </c>
      <c r="R13" s="9">
        <f t="shared" si="3"/>
        <v>1231.136667</v>
      </c>
    </row>
    <row r="14">
      <c r="A14" s="39">
        <v>45690.0</v>
      </c>
      <c r="B14" s="4" t="s">
        <v>127</v>
      </c>
      <c r="C14" s="21">
        <v>2.8</v>
      </c>
      <c r="E14" s="1"/>
      <c r="H14" s="19"/>
      <c r="N14" s="39">
        <v>45701.0</v>
      </c>
      <c r="O14" s="40">
        <f t="shared" si="4"/>
        <v>25.2</v>
      </c>
      <c r="P14" s="5">
        <f t="shared" si="5"/>
        <v>552.83</v>
      </c>
      <c r="Q14" s="5">
        <f t="shared" si="2"/>
        <v>42.52538462</v>
      </c>
      <c r="R14" s="9">
        <f t="shared" si="3"/>
        <v>1190.710769</v>
      </c>
    </row>
    <row r="15">
      <c r="A15" s="39">
        <v>45691.0</v>
      </c>
      <c r="B15" s="4" t="s">
        <v>238</v>
      </c>
      <c r="C15" s="4">
        <v>22.24</v>
      </c>
      <c r="E15" s="1"/>
      <c r="H15" s="1" t="s">
        <v>55</v>
      </c>
      <c r="I15" s="5">
        <f>sum(F2:F5)+F13</f>
        <v>210.62</v>
      </c>
      <c r="N15" s="39">
        <v>45702.0</v>
      </c>
      <c r="O15" s="40">
        <f t="shared" si="4"/>
        <v>31.19</v>
      </c>
      <c r="P15" s="5">
        <f t="shared" si="5"/>
        <v>584.02</v>
      </c>
      <c r="Q15" s="5">
        <f t="shared" si="2"/>
        <v>41.71571429</v>
      </c>
      <c r="R15" s="9">
        <f t="shared" si="3"/>
        <v>1168.04</v>
      </c>
    </row>
    <row r="16">
      <c r="A16" s="39">
        <v>45691.0</v>
      </c>
      <c r="B16" s="4" t="s">
        <v>66</v>
      </c>
      <c r="C16" s="21">
        <f>22.53-4.5</f>
        <v>18.03</v>
      </c>
      <c r="H16" s="19"/>
      <c r="N16" s="39">
        <v>45703.0</v>
      </c>
      <c r="O16" s="40">
        <f t="shared" si="4"/>
        <v>33.93</v>
      </c>
      <c r="P16" s="5">
        <f t="shared" si="5"/>
        <v>617.95</v>
      </c>
      <c r="Q16" s="5">
        <f t="shared" si="2"/>
        <v>41.19666667</v>
      </c>
      <c r="R16" s="9">
        <f t="shared" si="3"/>
        <v>1153.506667</v>
      </c>
    </row>
    <row r="17">
      <c r="A17" s="39">
        <v>45691.0</v>
      </c>
      <c r="B17" s="4" t="s">
        <v>255</v>
      </c>
      <c r="C17" s="21">
        <v>4.5</v>
      </c>
      <c r="H17" s="19"/>
      <c r="N17" s="39">
        <v>45704.0</v>
      </c>
      <c r="O17" s="40">
        <f t="shared" si="4"/>
        <v>68.28</v>
      </c>
      <c r="P17" s="5">
        <f t="shared" si="5"/>
        <v>686.23</v>
      </c>
      <c r="Q17" s="5">
        <f t="shared" si="2"/>
        <v>42.889375</v>
      </c>
      <c r="R17" s="9">
        <f t="shared" si="3"/>
        <v>1200.9025</v>
      </c>
    </row>
    <row r="18">
      <c r="A18" s="39">
        <v>45692.0</v>
      </c>
      <c r="B18" s="4" t="s">
        <v>76</v>
      </c>
      <c r="C18" s="21">
        <v>0.99</v>
      </c>
      <c r="H18" s="19"/>
      <c r="N18" s="39">
        <v>45705.0</v>
      </c>
      <c r="O18" s="40">
        <f t="shared" si="4"/>
        <v>84.98</v>
      </c>
      <c r="P18" s="5">
        <f t="shared" si="5"/>
        <v>771.21</v>
      </c>
      <c r="Q18" s="5">
        <f t="shared" si="2"/>
        <v>45.36529412</v>
      </c>
      <c r="R18" s="9">
        <f t="shared" si="3"/>
        <v>1270.228235</v>
      </c>
    </row>
    <row r="19">
      <c r="A19" s="39">
        <v>45692.0</v>
      </c>
      <c r="B19" s="4" t="s">
        <v>140</v>
      </c>
      <c r="C19" s="21">
        <v>10.99</v>
      </c>
      <c r="H19" s="19"/>
      <c r="N19" s="39">
        <v>45706.0</v>
      </c>
      <c r="O19" s="40">
        <f t="shared" si="4"/>
        <v>7.06</v>
      </c>
      <c r="P19" s="5">
        <f t="shared" si="5"/>
        <v>778.27</v>
      </c>
      <c r="Q19" s="5">
        <f t="shared" si="2"/>
        <v>43.23722222</v>
      </c>
      <c r="R19" s="9">
        <f t="shared" si="3"/>
        <v>1210.642222</v>
      </c>
    </row>
    <row r="20">
      <c r="A20" s="39">
        <v>45693.0</v>
      </c>
      <c r="B20" s="4" t="s">
        <v>127</v>
      </c>
      <c r="C20" s="21">
        <v>6.8</v>
      </c>
      <c r="H20" s="19"/>
      <c r="N20" s="39">
        <v>45707.0</v>
      </c>
      <c r="O20" s="40">
        <f t="shared" si="4"/>
        <v>96.98</v>
      </c>
      <c r="P20" s="5">
        <f t="shared" si="5"/>
        <v>875.25</v>
      </c>
      <c r="Q20" s="5">
        <f t="shared" si="2"/>
        <v>46.06578947</v>
      </c>
      <c r="R20" s="9">
        <f t="shared" si="3"/>
        <v>1289.842105</v>
      </c>
    </row>
    <row r="21">
      <c r="A21" s="39">
        <v>45693.0</v>
      </c>
      <c r="B21" s="4" t="s">
        <v>76</v>
      </c>
      <c r="C21" s="21">
        <v>0.99</v>
      </c>
      <c r="E21" s="19"/>
      <c r="F21" s="5"/>
      <c r="H21" s="19"/>
      <c r="N21" s="39">
        <v>45708.0</v>
      </c>
      <c r="O21" s="40">
        <f t="shared" si="4"/>
        <v>33.77</v>
      </c>
      <c r="P21" s="5">
        <f t="shared" si="5"/>
        <v>909.02</v>
      </c>
      <c r="Q21" s="5">
        <f t="shared" si="2"/>
        <v>45.451</v>
      </c>
      <c r="R21" s="9">
        <f t="shared" si="3"/>
        <v>1272.628</v>
      </c>
    </row>
    <row r="22">
      <c r="A22" s="39">
        <v>45693.0</v>
      </c>
      <c r="B22" s="4" t="s">
        <v>140</v>
      </c>
      <c r="C22" s="21">
        <v>11.55</v>
      </c>
      <c r="E22" s="19"/>
      <c r="F22" s="5"/>
      <c r="H22" s="19"/>
      <c r="N22" s="39">
        <v>45709.0</v>
      </c>
      <c r="O22" s="40">
        <f t="shared" si="4"/>
        <v>80.39</v>
      </c>
      <c r="P22" s="5">
        <f t="shared" si="5"/>
        <v>989.41</v>
      </c>
      <c r="Q22" s="5">
        <f t="shared" si="2"/>
        <v>47.1147619</v>
      </c>
      <c r="R22" s="9">
        <f t="shared" si="3"/>
        <v>1319.213333</v>
      </c>
    </row>
    <row r="23">
      <c r="A23" s="39">
        <v>45693.0</v>
      </c>
      <c r="B23" s="4" t="s">
        <v>62</v>
      </c>
      <c r="C23" s="21">
        <v>0.8</v>
      </c>
      <c r="E23" s="19"/>
      <c r="F23" s="5"/>
      <c r="H23" s="19"/>
      <c r="N23" s="39">
        <v>45710.0</v>
      </c>
      <c r="O23" s="40">
        <f t="shared" si="4"/>
        <v>2.8</v>
      </c>
      <c r="P23" s="5">
        <f t="shared" si="5"/>
        <v>992.21</v>
      </c>
      <c r="Q23" s="5">
        <f t="shared" si="2"/>
        <v>45.10045455</v>
      </c>
      <c r="R23" s="9">
        <f t="shared" si="3"/>
        <v>1262.812727</v>
      </c>
    </row>
    <row r="24">
      <c r="A24" s="39">
        <v>45694.0</v>
      </c>
      <c r="B24" s="4" t="s">
        <v>131</v>
      </c>
      <c r="C24" s="4">
        <v>9.99</v>
      </c>
      <c r="E24" s="19"/>
      <c r="F24" s="5"/>
      <c r="H24" s="19"/>
      <c r="N24" s="39">
        <v>45711.0</v>
      </c>
      <c r="O24" s="40">
        <f t="shared" si="4"/>
        <v>9.25</v>
      </c>
      <c r="P24" s="5">
        <f t="shared" si="5"/>
        <v>1001.46</v>
      </c>
      <c r="Q24" s="5">
        <f t="shared" si="2"/>
        <v>43.54173913</v>
      </c>
      <c r="R24" s="9">
        <f t="shared" si="3"/>
        <v>1219.168696</v>
      </c>
    </row>
    <row r="25">
      <c r="A25" s="39">
        <v>45694.0</v>
      </c>
      <c r="B25" s="4" t="s">
        <v>47</v>
      </c>
      <c r="C25" s="21">
        <v>4.0</v>
      </c>
      <c r="E25" s="19"/>
      <c r="F25" s="5"/>
      <c r="H25" s="19"/>
      <c r="N25" s="39">
        <v>45712.0</v>
      </c>
      <c r="O25" s="40">
        <f t="shared" si="4"/>
        <v>14.85</v>
      </c>
      <c r="P25" s="5">
        <f t="shared" si="5"/>
        <v>1016.31</v>
      </c>
      <c r="Q25" s="5">
        <f t="shared" si="2"/>
        <v>42.34625</v>
      </c>
      <c r="R25" s="9">
        <f t="shared" si="3"/>
        <v>1185.695</v>
      </c>
    </row>
    <row r="26">
      <c r="A26" s="39">
        <v>45694.0</v>
      </c>
      <c r="B26" s="4" t="s">
        <v>127</v>
      </c>
      <c r="C26" s="21">
        <v>6.8</v>
      </c>
      <c r="E26" s="19"/>
      <c r="F26" s="5"/>
      <c r="H26" s="19"/>
      <c r="N26" s="39">
        <v>45713.0</v>
      </c>
      <c r="O26" s="40">
        <f t="shared" si="4"/>
        <v>18.99</v>
      </c>
      <c r="P26" s="5">
        <f t="shared" si="5"/>
        <v>1035.3</v>
      </c>
      <c r="Q26" s="5">
        <f t="shared" si="2"/>
        <v>41.412</v>
      </c>
      <c r="R26" s="9">
        <f t="shared" si="3"/>
        <v>1159.536</v>
      </c>
    </row>
    <row r="27">
      <c r="A27" s="39">
        <v>45694.0</v>
      </c>
      <c r="B27" s="4" t="s">
        <v>45</v>
      </c>
      <c r="C27" s="21">
        <f>13.8+26.46</f>
        <v>40.26</v>
      </c>
      <c r="E27" s="19"/>
      <c r="F27" s="5"/>
      <c r="H27" s="19"/>
      <c r="N27" s="39">
        <v>45714.0</v>
      </c>
      <c r="O27" s="40">
        <f t="shared" si="4"/>
        <v>42.87</v>
      </c>
      <c r="P27" s="5">
        <f t="shared" si="5"/>
        <v>1078.17</v>
      </c>
      <c r="Q27" s="5">
        <f t="shared" si="2"/>
        <v>41.46807692</v>
      </c>
      <c r="R27" s="9">
        <f t="shared" si="3"/>
        <v>1161.106154</v>
      </c>
    </row>
    <row r="28">
      <c r="A28" s="39">
        <v>45695.0</v>
      </c>
      <c r="B28" s="4" t="s">
        <v>256</v>
      </c>
      <c r="C28" s="21">
        <v>6.99</v>
      </c>
      <c r="E28" s="19"/>
      <c r="F28" s="5"/>
      <c r="H28" s="19"/>
      <c r="N28" s="39">
        <v>45715.0</v>
      </c>
      <c r="O28" s="40">
        <f t="shared" si="4"/>
        <v>87.58</v>
      </c>
      <c r="P28" s="5">
        <f t="shared" si="5"/>
        <v>1165.75</v>
      </c>
      <c r="Q28" s="5">
        <f t="shared" si="2"/>
        <v>43.17592593</v>
      </c>
      <c r="R28" s="9">
        <f t="shared" si="3"/>
        <v>1208.925926</v>
      </c>
    </row>
    <row r="29">
      <c r="A29" s="39">
        <v>45695.0</v>
      </c>
      <c r="B29" s="4" t="s">
        <v>127</v>
      </c>
      <c r="C29" s="21">
        <v>5.6</v>
      </c>
      <c r="E29" s="19"/>
      <c r="F29" s="5"/>
      <c r="H29" s="19"/>
      <c r="N29" s="39">
        <v>45716.0</v>
      </c>
      <c r="O29" s="40">
        <f t="shared" si="4"/>
        <v>27.48</v>
      </c>
      <c r="P29" s="5">
        <f t="shared" si="5"/>
        <v>1193.23</v>
      </c>
      <c r="Q29" s="5">
        <f t="shared" si="2"/>
        <v>42.61535714</v>
      </c>
      <c r="R29" s="9">
        <f t="shared" si="3"/>
        <v>1193.23</v>
      </c>
    </row>
    <row r="30">
      <c r="A30" s="39">
        <v>45695.0</v>
      </c>
      <c r="B30" s="4" t="s">
        <v>210</v>
      </c>
      <c r="C30" s="21">
        <v>10.0</v>
      </c>
      <c r="E30" s="19"/>
      <c r="F30" s="5"/>
      <c r="H30" s="19"/>
      <c r="N30" s="39"/>
      <c r="Q30" s="5"/>
      <c r="R30" s="9"/>
    </row>
    <row r="31">
      <c r="A31" s="39">
        <v>45696.0</v>
      </c>
      <c r="B31" s="4" t="s">
        <v>57</v>
      </c>
      <c r="C31" s="21">
        <v>12.45</v>
      </c>
      <c r="E31" s="19"/>
      <c r="F31" s="5"/>
      <c r="H31" s="19"/>
      <c r="N31" s="39"/>
      <c r="Q31" s="5"/>
      <c r="R31" s="9"/>
    </row>
    <row r="32">
      <c r="A32" s="39">
        <v>45696.0</v>
      </c>
      <c r="B32" s="4" t="s">
        <v>47</v>
      </c>
      <c r="C32" s="4">
        <v>9.0</v>
      </c>
      <c r="E32" s="19"/>
      <c r="F32" s="5"/>
      <c r="H32" s="19"/>
      <c r="N32" s="39"/>
      <c r="Q32" s="5"/>
      <c r="R32" s="9"/>
    </row>
    <row r="33">
      <c r="A33" s="39">
        <v>45696.0</v>
      </c>
      <c r="B33" s="4" t="s">
        <v>238</v>
      </c>
      <c r="C33" s="21">
        <v>21.98</v>
      </c>
      <c r="E33" s="19"/>
      <c r="F33" s="5"/>
      <c r="H33" s="19"/>
      <c r="N33" s="39"/>
      <c r="Q33" s="5"/>
      <c r="R33" s="9"/>
    </row>
    <row r="34">
      <c r="A34" s="39">
        <v>45696.0</v>
      </c>
      <c r="B34" s="4" t="s">
        <v>257</v>
      </c>
      <c r="C34" s="4">
        <v>8.99</v>
      </c>
      <c r="E34" s="19"/>
      <c r="F34" s="5"/>
      <c r="H34" s="19"/>
      <c r="Q34" s="5"/>
      <c r="R34" s="9"/>
    </row>
    <row r="35">
      <c r="A35" s="39">
        <v>45697.0</v>
      </c>
      <c r="B35" s="4" t="s">
        <v>47</v>
      </c>
      <c r="C35" s="21">
        <v>3.75</v>
      </c>
      <c r="E35" s="19"/>
      <c r="F35" s="5"/>
      <c r="H35" s="19"/>
      <c r="Q35" s="5"/>
      <c r="R35" s="9"/>
    </row>
    <row r="36">
      <c r="A36" s="39">
        <v>45697.0</v>
      </c>
      <c r="B36" s="4" t="s">
        <v>210</v>
      </c>
      <c r="C36" s="4">
        <v>35.66</v>
      </c>
      <c r="E36" s="19"/>
      <c r="F36" s="5"/>
      <c r="H36" s="19"/>
      <c r="Q36" s="5"/>
      <c r="R36" s="9"/>
    </row>
    <row r="37">
      <c r="A37" s="39">
        <v>45697.0</v>
      </c>
      <c r="B37" s="4" t="s">
        <v>127</v>
      </c>
      <c r="C37" s="21">
        <v>1.75</v>
      </c>
      <c r="E37" s="19"/>
      <c r="F37" s="5"/>
      <c r="H37" s="19"/>
      <c r="Q37" s="5"/>
      <c r="R37" s="9"/>
    </row>
    <row r="38">
      <c r="A38" s="39">
        <v>45697.0</v>
      </c>
      <c r="B38" s="4" t="s">
        <v>230</v>
      </c>
      <c r="C38" s="21">
        <v>8.24</v>
      </c>
      <c r="E38" s="19"/>
      <c r="F38" s="5"/>
      <c r="H38" s="19"/>
      <c r="Q38" s="5"/>
      <c r="R38" s="9"/>
    </row>
    <row r="39">
      <c r="A39" s="39">
        <v>45698.0</v>
      </c>
      <c r="B39" s="4" t="s">
        <v>127</v>
      </c>
      <c r="C39" s="21">
        <v>1.75</v>
      </c>
      <c r="E39" s="19"/>
      <c r="F39" s="5"/>
      <c r="H39" s="19"/>
      <c r="Q39" s="5"/>
      <c r="R39" s="9"/>
    </row>
    <row r="40">
      <c r="A40" s="39">
        <v>45698.0</v>
      </c>
      <c r="B40" s="4" t="s">
        <v>140</v>
      </c>
      <c r="C40" s="21">
        <v>10.75</v>
      </c>
      <c r="E40" s="19"/>
      <c r="F40" s="5"/>
      <c r="H40" s="19"/>
      <c r="Q40" s="5"/>
      <c r="R40" s="9"/>
    </row>
    <row r="41">
      <c r="A41" s="39">
        <v>45698.0</v>
      </c>
      <c r="B41" s="4" t="s">
        <v>66</v>
      </c>
      <c r="C41" s="21">
        <v>5.2</v>
      </c>
      <c r="E41" s="19"/>
      <c r="F41" s="5"/>
      <c r="H41" s="19"/>
      <c r="Q41" s="5"/>
      <c r="R41" s="9"/>
    </row>
    <row r="42">
      <c r="A42" s="39">
        <v>45699.0</v>
      </c>
      <c r="B42" s="4" t="s">
        <v>258</v>
      </c>
      <c r="C42" s="21">
        <v>2.99</v>
      </c>
      <c r="E42" s="19"/>
      <c r="F42" s="5"/>
      <c r="H42" s="19"/>
      <c r="Q42" s="5"/>
      <c r="R42" s="9"/>
    </row>
    <row r="43">
      <c r="A43" s="39">
        <v>45699.0</v>
      </c>
      <c r="B43" s="4" t="s">
        <v>57</v>
      </c>
      <c r="C43" s="21">
        <v>4.7</v>
      </c>
      <c r="E43" s="19"/>
      <c r="F43" s="5"/>
      <c r="H43" s="19"/>
      <c r="Q43" s="5"/>
      <c r="R43" s="9"/>
    </row>
    <row r="44">
      <c r="A44" s="39">
        <v>45699.0</v>
      </c>
      <c r="B44" s="4" t="s">
        <v>201</v>
      </c>
      <c r="C44" s="21">
        <v>3.5</v>
      </c>
      <c r="E44" s="19"/>
      <c r="F44" s="5"/>
      <c r="H44" s="19"/>
      <c r="Q44" s="5"/>
      <c r="R44" s="9"/>
    </row>
    <row r="45">
      <c r="A45" s="39">
        <v>45699.0</v>
      </c>
      <c r="B45" s="4" t="s">
        <v>259</v>
      </c>
      <c r="C45" s="46">
        <v>21.48</v>
      </c>
      <c r="E45" s="19"/>
      <c r="F45" s="5"/>
      <c r="H45" s="19"/>
      <c r="Q45" s="5"/>
      <c r="R45" s="9"/>
    </row>
    <row r="46">
      <c r="A46" s="39">
        <v>45700.0</v>
      </c>
      <c r="B46" s="4" t="s">
        <v>110</v>
      </c>
      <c r="C46" s="21">
        <v>35.0</v>
      </c>
      <c r="E46" s="19"/>
      <c r="F46" s="5"/>
      <c r="H46" s="19"/>
      <c r="Q46" s="5"/>
      <c r="R46" s="9"/>
    </row>
    <row r="47">
      <c r="A47" s="39">
        <v>45700.0</v>
      </c>
      <c r="B47" s="4" t="s">
        <v>66</v>
      </c>
      <c r="C47" s="21">
        <v>6.95</v>
      </c>
      <c r="E47" s="19"/>
      <c r="F47" s="5"/>
      <c r="H47" s="19"/>
      <c r="Q47" s="5"/>
      <c r="R47" s="9"/>
    </row>
    <row r="48">
      <c r="A48" s="39">
        <v>45700.0</v>
      </c>
      <c r="B48" s="4" t="s">
        <v>210</v>
      </c>
      <c r="C48" s="21">
        <v>30.35</v>
      </c>
      <c r="E48" s="19"/>
      <c r="F48" s="5"/>
      <c r="H48" s="19"/>
      <c r="Q48" s="5"/>
      <c r="R48" s="9"/>
    </row>
    <row r="49">
      <c r="A49" s="39">
        <v>45700.0</v>
      </c>
      <c r="B49" s="4" t="s">
        <v>141</v>
      </c>
      <c r="C49" s="21">
        <v>28.0</v>
      </c>
      <c r="E49" s="19"/>
      <c r="F49" s="5"/>
      <c r="H49" s="19"/>
      <c r="Q49" s="5"/>
      <c r="R49" s="9"/>
    </row>
    <row r="50">
      <c r="A50" s="39">
        <v>45701.0</v>
      </c>
      <c r="B50" s="4" t="s">
        <v>76</v>
      </c>
      <c r="C50" s="21">
        <v>0.99</v>
      </c>
      <c r="E50" s="19"/>
      <c r="F50" s="5"/>
      <c r="H50" s="19"/>
      <c r="Q50" s="5"/>
      <c r="R50" s="9"/>
    </row>
    <row r="51">
      <c r="A51" s="39">
        <v>45701.0</v>
      </c>
      <c r="B51" s="4" t="s">
        <v>140</v>
      </c>
      <c r="C51" s="21">
        <v>9.6</v>
      </c>
      <c r="E51" s="19"/>
      <c r="F51" s="5"/>
      <c r="H51" s="19"/>
      <c r="Q51" s="5"/>
      <c r="R51" s="9"/>
    </row>
    <row r="52">
      <c r="A52" s="39">
        <v>45701.0</v>
      </c>
      <c r="B52" s="4" t="s">
        <v>62</v>
      </c>
      <c r="C52" s="21">
        <v>0.8</v>
      </c>
      <c r="E52" s="19"/>
      <c r="F52" s="5"/>
      <c r="H52" s="19"/>
      <c r="Q52" s="5"/>
      <c r="R52" s="9"/>
    </row>
    <row r="53">
      <c r="A53" s="39">
        <v>45701.0</v>
      </c>
      <c r="B53" s="4" t="s">
        <v>52</v>
      </c>
      <c r="C53" s="21">
        <v>13.81</v>
      </c>
      <c r="E53" s="19"/>
      <c r="F53" s="5"/>
      <c r="H53" s="19"/>
      <c r="Q53" s="5"/>
      <c r="R53" s="9"/>
    </row>
    <row r="54">
      <c r="A54" s="39">
        <v>45702.0</v>
      </c>
      <c r="B54" s="4" t="s">
        <v>76</v>
      </c>
      <c r="C54" s="21">
        <v>3.9</v>
      </c>
      <c r="E54" s="19"/>
      <c r="F54" s="5"/>
      <c r="H54" s="19"/>
      <c r="Q54" s="5"/>
      <c r="R54" s="9"/>
    </row>
    <row r="55">
      <c r="A55" s="39">
        <v>45702.0</v>
      </c>
      <c r="B55" s="4" t="s">
        <v>66</v>
      </c>
      <c r="C55" s="43">
        <v>6.75</v>
      </c>
      <c r="E55" s="19"/>
      <c r="F55" s="5"/>
      <c r="H55" s="19"/>
      <c r="Q55" s="5"/>
      <c r="R55" s="9"/>
    </row>
    <row r="56">
      <c r="A56" s="39">
        <v>45702.0</v>
      </c>
      <c r="B56" s="4" t="s">
        <v>127</v>
      </c>
      <c r="C56" s="21">
        <v>8.5</v>
      </c>
      <c r="E56" s="19"/>
      <c r="F56" s="5"/>
      <c r="H56" s="19"/>
      <c r="Q56" s="5"/>
      <c r="R56" s="9"/>
    </row>
    <row r="57">
      <c r="A57" s="39">
        <v>45702.0</v>
      </c>
      <c r="B57" s="4" t="s">
        <v>52</v>
      </c>
      <c r="C57" s="21">
        <v>8.55</v>
      </c>
      <c r="E57" s="19"/>
      <c r="F57" s="5"/>
      <c r="H57" s="19"/>
      <c r="Q57" s="5"/>
      <c r="R57" s="9"/>
    </row>
    <row r="58">
      <c r="A58" s="39">
        <v>45702.0</v>
      </c>
      <c r="B58" s="4" t="s">
        <v>260</v>
      </c>
      <c r="C58" s="21">
        <v>3.49</v>
      </c>
      <c r="E58" s="19"/>
      <c r="F58" s="5"/>
      <c r="H58" s="19"/>
      <c r="Q58" s="5"/>
      <c r="R58" s="9"/>
    </row>
    <row r="59">
      <c r="A59" s="39">
        <v>45703.0</v>
      </c>
      <c r="B59" s="4" t="s">
        <v>57</v>
      </c>
      <c r="C59" s="21">
        <f>13.99+8.2+8</f>
        <v>30.19</v>
      </c>
      <c r="E59" s="19"/>
      <c r="F59" s="5"/>
      <c r="H59" s="19"/>
      <c r="Q59" s="5"/>
      <c r="R59" s="9"/>
    </row>
    <row r="60">
      <c r="A60" s="39">
        <v>45703.0</v>
      </c>
      <c r="B60" s="4" t="s">
        <v>246</v>
      </c>
      <c r="C60" s="21">
        <v>1.75</v>
      </c>
      <c r="E60" s="19"/>
      <c r="F60" s="5"/>
      <c r="H60" s="19"/>
      <c r="Q60" s="5"/>
      <c r="R60" s="9"/>
    </row>
    <row r="61">
      <c r="A61" s="39">
        <v>45703.0</v>
      </c>
      <c r="B61" s="4" t="s">
        <v>260</v>
      </c>
      <c r="C61" s="21">
        <v>1.99</v>
      </c>
      <c r="E61" s="19"/>
      <c r="F61" s="5"/>
      <c r="H61" s="19"/>
      <c r="Q61" s="5"/>
      <c r="R61" s="9"/>
    </row>
    <row r="62">
      <c r="A62" s="39">
        <v>45704.0</v>
      </c>
      <c r="B62" s="4" t="s">
        <v>261</v>
      </c>
      <c r="C62" s="21">
        <v>42.0</v>
      </c>
      <c r="E62" s="19"/>
      <c r="F62" s="5"/>
      <c r="H62" s="19"/>
      <c r="Q62" s="5"/>
      <c r="R62" s="9"/>
    </row>
    <row r="63">
      <c r="A63" s="39">
        <v>45704.0</v>
      </c>
      <c r="B63" s="4" t="s">
        <v>246</v>
      </c>
      <c r="C63" s="21">
        <v>7.35</v>
      </c>
      <c r="E63" s="19"/>
      <c r="F63" s="5"/>
      <c r="H63" s="19"/>
      <c r="Q63" s="5"/>
      <c r="R63" s="9"/>
    </row>
    <row r="64">
      <c r="A64" s="39">
        <v>45704.0</v>
      </c>
      <c r="B64" s="4" t="s">
        <v>52</v>
      </c>
      <c r="C64" s="21">
        <v>3.48</v>
      </c>
      <c r="E64" s="19"/>
      <c r="F64" s="5"/>
      <c r="H64" s="19"/>
      <c r="Q64" s="5"/>
      <c r="R64" s="9"/>
    </row>
    <row r="65">
      <c r="A65" s="39">
        <v>45704.0</v>
      </c>
      <c r="B65" s="4" t="s">
        <v>262</v>
      </c>
      <c r="C65" s="21">
        <v>15.45</v>
      </c>
      <c r="E65" s="19"/>
      <c r="F65" s="5"/>
      <c r="H65" s="19"/>
      <c r="Q65" s="5"/>
      <c r="R65" s="9"/>
    </row>
    <row r="66">
      <c r="A66" s="39">
        <v>45705.0</v>
      </c>
      <c r="B66" s="4" t="s">
        <v>263</v>
      </c>
      <c r="C66" s="21">
        <v>21.21</v>
      </c>
      <c r="E66" s="19"/>
      <c r="F66" s="5"/>
      <c r="H66" s="19"/>
      <c r="Q66" s="5"/>
      <c r="R66" s="9"/>
    </row>
    <row r="67">
      <c r="A67" s="39">
        <v>45705.0</v>
      </c>
      <c r="B67" s="4" t="s">
        <v>264</v>
      </c>
      <c r="C67" s="21">
        <v>21.12</v>
      </c>
      <c r="E67" s="19"/>
      <c r="F67" s="5"/>
      <c r="H67" s="19"/>
      <c r="Q67" s="5"/>
      <c r="R67" s="9"/>
    </row>
    <row r="68">
      <c r="A68" s="39">
        <v>45705.0</v>
      </c>
      <c r="B68" s="4" t="s">
        <v>265</v>
      </c>
      <c r="C68" s="21">
        <v>11.75</v>
      </c>
      <c r="E68" s="19"/>
      <c r="F68" s="5"/>
      <c r="H68" s="19"/>
      <c r="Q68" s="5"/>
      <c r="R68" s="9"/>
    </row>
    <row r="69">
      <c r="A69" s="39">
        <v>45705.0</v>
      </c>
      <c r="B69" s="4" t="s">
        <v>47</v>
      </c>
      <c r="C69" s="21">
        <v>23.15</v>
      </c>
      <c r="E69" s="19"/>
      <c r="F69" s="5"/>
      <c r="H69" s="19"/>
      <c r="Q69" s="5"/>
      <c r="R69" s="9"/>
    </row>
    <row r="70">
      <c r="A70" s="39">
        <v>45705.0</v>
      </c>
      <c r="B70" s="4" t="s">
        <v>127</v>
      </c>
      <c r="C70" s="21">
        <v>7.75</v>
      </c>
      <c r="E70" s="19"/>
      <c r="F70" s="5"/>
      <c r="H70" s="19"/>
      <c r="Q70" s="5"/>
      <c r="R70" s="9"/>
    </row>
    <row r="71">
      <c r="A71" s="39">
        <v>45706.0</v>
      </c>
      <c r="B71" s="4" t="s">
        <v>59</v>
      </c>
      <c r="C71" s="21">
        <v>7.06</v>
      </c>
      <c r="E71" s="19"/>
      <c r="F71" s="5"/>
      <c r="H71" s="19"/>
      <c r="Q71" s="5"/>
      <c r="R71" s="9"/>
    </row>
    <row r="72">
      <c r="A72" s="39">
        <v>45707.0</v>
      </c>
      <c r="B72" s="4" t="s">
        <v>209</v>
      </c>
      <c r="C72" s="21">
        <v>3.0</v>
      </c>
      <c r="E72" s="19"/>
      <c r="F72" s="5"/>
      <c r="H72" s="19"/>
      <c r="Q72" s="5"/>
      <c r="R72" s="9"/>
    </row>
    <row r="73">
      <c r="A73" s="39">
        <v>45707.0</v>
      </c>
      <c r="B73" s="4" t="s">
        <v>266</v>
      </c>
      <c r="C73" s="21">
        <f>39+8.49</f>
        <v>47.49</v>
      </c>
      <c r="E73" s="19"/>
      <c r="F73" s="5"/>
      <c r="H73" s="19"/>
      <c r="Q73" s="5"/>
      <c r="R73" s="9"/>
    </row>
    <row r="74">
      <c r="A74" s="39">
        <v>45707.0</v>
      </c>
      <c r="B74" s="4" t="s">
        <v>267</v>
      </c>
      <c r="C74" s="21">
        <v>11.49</v>
      </c>
      <c r="E74" s="19"/>
      <c r="F74" s="5"/>
      <c r="H74" s="19"/>
      <c r="Q74" s="5"/>
      <c r="R74" s="9"/>
    </row>
    <row r="75">
      <c r="A75" s="39">
        <v>45707.0</v>
      </c>
      <c r="B75" s="4" t="s">
        <v>47</v>
      </c>
      <c r="C75" s="21">
        <v>33.25</v>
      </c>
      <c r="E75" s="19"/>
      <c r="F75" s="5"/>
      <c r="H75" s="19"/>
      <c r="Q75" s="5"/>
      <c r="R75" s="9"/>
    </row>
    <row r="76">
      <c r="A76" s="39">
        <v>45707.0</v>
      </c>
      <c r="B76" s="4" t="s">
        <v>127</v>
      </c>
      <c r="C76" s="21">
        <v>1.75</v>
      </c>
      <c r="E76" s="19"/>
      <c r="F76" s="5"/>
      <c r="H76" s="19"/>
      <c r="Q76" s="5"/>
      <c r="R76" s="9"/>
    </row>
    <row r="77">
      <c r="A77" s="39">
        <v>45708.0</v>
      </c>
      <c r="B77" s="4" t="s">
        <v>62</v>
      </c>
      <c r="C77" s="21">
        <v>2.0</v>
      </c>
      <c r="E77" s="19"/>
      <c r="F77" s="5"/>
      <c r="H77" s="19"/>
      <c r="Q77" s="5"/>
      <c r="R77" s="9"/>
    </row>
    <row r="78">
      <c r="A78" s="39">
        <v>45708.0</v>
      </c>
      <c r="B78" s="4" t="s">
        <v>76</v>
      </c>
      <c r="C78" s="4">
        <v>0.99</v>
      </c>
      <c r="E78" s="19"/>
      <c r="F78" s="5"/>
      <c r="H78" s="19"/>
      <c r="Q78" s="5"/>
      <c r="R78" s="9"/>
    </row>
    <row r="79">
      <c r="A79" s="39">
        <v>45708.0</v>
      </c>
      <c r="B79" s="4" t="s">
        <v>230</v>
      </c>
      <c r="C79" s="21">
        <v>8.24</v>
      </c>
      <c r="E79" s="19"/>
      <c r="F79" s="5"/>
      <c r="H79" s="19"/>
      <c r="Q79" s="5"/>
      <c r="R79" s="9"/>
    </row>
    <row r="80">
      <c r="A80" s="39">
        <v>45708.0</v>
      </c>
      <c r="B80" s="4" t="s">
        <v>140</v>
      </c>
      <c r="C80" s="21">
        <v>14.4</v>
      </c>
      <c r="E80" s="19"/>
      <c r="F80" s="5"/>
      <c r="H80" s="19"/>
      <c r="Q80" s="5"/>
      <c r="R80" s="9"/>
    </row>
    <row r="81">
      <c r="A81" s="39">
        <v>45708.0</v>
      </c>
      <c r="B81" s="4" t="s">
        <v>127</v>
      </c>
      <c r="C81" s="21">
        <v>1.75</v>
      </c>
      <c r="E81" s="19"/>
      <c r="F81" s="5"/>
      <c r="H81" s="19"/>
      <c r="Q81" s="5"/>
      <c r="R81" s="9"/>
    </row>
    <row r="82">
      <c r="A82" s="39">
        <v>45708.0</v>
      </c>
      <c r="B82" s="4" t="s">
        <v>47</v>
      </c>
      <c r="C82" s="21">
        <v>6.39</v>
      </c>
      <c r="E82" s="19"/>
      <c r="F82" s="5"/>
      <c r="H82" s="19"/>
      <c r="Q82" s="5"/>
      <c r="R82" s="9"/>
    </row>
    <row r="83">
      <c r="A83" s="39">
        <v>45709.0</v>
      </c>
      <c r="B83" s="4" t="s">
        <v>268</v>
      </c>
      <c r="C83" s="21">
        <v>17.0</v>
      </c>
      <c r="E83" s="19"/>
      <c r="F83" s="5"/>
      <c r="H83" s="19"/>
      <c r="Q83" s="5"/>
      <c r="R83" s="9"/>
    </row>
    <row r="84">
      <c r="A84" s="39">
        <v>45709.0</v>
      </c>
      <c r="B84" s="4" t="s">
        <v>127</v>
      </c>
      <c r="C84" s="21">
        <v>6.8</v>
      </c>
      <c r="E84" s="19"/>
      <c r="F84" s="5"/>
      <c r="H84" s="19"/>
      <c r="Q84" s="5"/>
      <c r="R84" s="9"/>
    </row>
    <row r="85">
      <c r="A85" s="39">
        <v>45709.0</v>
      </c>
      <c r="B85" s="4" t="s">
        <v>47</v>
      </c>
      <c r="C85" s="21">
        <v>18.8</v>
      </c>
      <c r="E85" s="19"/>
      <c r="F85" s="5"/>
      <c r="H85" s="19"/>
      <c r="Q85" s="5"/>
      <c r="R85" s="9"/>
    </row>
    <row r="86">
      <c r="A86" s="39">
        <v>45709.0</v>
      </c>
      <c r="B86" s="4" t="s">
        <v>45</v>
      </c>
      <c r="C86" s="21">
        <v>6.07</v>
      </c>
      <c r="E86" s="19"/>
      <c r="F86" s="5"/>
      <c r="H86" s="19"/>
      <c r="Q86" s="5"/>
      <c r="R86" s="9"/>
    </row>
    <row r="87">
      <c r="A87" s="39">
        <v>45709.0</v>
      </c>
      <c r="B87" s="4" t="s">
        <v>57</v>
      </c>
      <c r="C87" s="21">
        <v>2.62</v>
      </c>
      <c r="E87" s="19"/>
      <c r="F87" s="5"/>
      <c r="H87" s="19"/>
      <c r="Q87" s="5"/>
      <c r="R87" s="9"/>
    </row>
    <row r="88">
      <c r="A88" s="39">
        <v>45709.0</v>
      </c>
      <c r="B88" s="4" t="s">
        <v>57</v>
      </c>
      <c r="C88" s="21">
        <v>5.1</v>
      </c>
      <c r="E88" s="19"/>
      <c r="F88" s="5"/>
      <c r="H88" s="19"/>
      <c r="Q88" s="5"/>
      <c r="R88" s="9"/>
    </row>
    <row r="89">
      <c r="A89" s="39">
        <v>45709.0</v>
      </c>
      <c r="B89" s="4" t="s">
        <v>45</v>
      </c>
      <c r="C89" s="21">
        <v>24.0</v>
      </c>
      <c r="E89" s="19"/>
      <c r="F89" s="5"/>
      <c r="H89" s="19"/>
      <c r="Q89" s="5"/>
      <c r="R89" s="9"/>
    </row>
    <row r="90">
      <c r="A90" s="39">
        <v>45710.0</v>
      </c>
      <c r="B90" s="4" t="s">
        <v>168</v>
      </c>
      <c r="C90" s="21">
        <v>2.8</v>
      </c>
      <c r="E90" s="19"/>
      <c r="F90" s="5"/>
      <c r="H90" s="19"/>
      <c r="Q90" s="5"/>
      <c r="R90" s="9"/>
    </row>
    <row r="91">
      <c r="A91" s="39">
        <v>45711.0</v>
      </c>
      <c r="B91" s="4" t="s">
        <v>52</v>
      </c>
      <c r="C91" s="21">
        <v>7.5</v>
      </c>
      <c r="E91" s="19"/>
      <c r="F91" s="5"/>
      <c r="H91" s="19"/>
      <c r="Q91" s="5"/>
      <c r="R91" s="9"/>
    </row>
    <row r="92">
      <c r="A92" s="39">
        <v>45711.0</v>
      </c>
      <c r="B92" s="4" t="s">
        <v>127</v>
      </c>
      <c r="C92" s="21">
        <v>1.75</v>
      </c>
      <c r="E92" s="19"/>
      <c r="F92" s="5"/>
      <c r="H92" s="19"/>
      <c r="Q92" s="5"/>
      <c r="R92" s="9"/>
    </row>
    <row r="93">
      <c r="A93" s="39">
        <v>45712.0</v>
      </c>
      <c r="B93" s="4" t="s">
        <v>47</v>
      </c>
      <c r="C93" s="21">
        <v>13.6</v>
      </c>
      <c r="E93" s="19"/>
      <c r="F93" s="5"/>
      <c r="H93" s="19"/>
      <c r="Q93" s="5"/>
      <c r="R93" s="9"/>
    </row>
    <row r="94">
      <c r="A94" s="39">
        <v>45712.0</v>
      </c>
      <c r="B94" s="4" t="s">
        <v>56</v>
      </c>
      <c r="C94" s="21">
        <v>1.25</v>
      </c>
      <c r="E94" s="19"/>
      <c r="F94" s="5"/>
      <c r="H94" s="19"/>
      <c r="Q94" s="5"/>
      <c r="R94" s="9"/>
    </row>
    <row r="95">
      <c r="A95" s="39">
        <v>45713.0</v>
      </c>
      <c r="B95" s="4" t="s">
        <v>119</v>
      </c>
      <c r="C95" s="21">
        <v>18.99</v>
      </c>
      <c r="E95" s="19"/>
      <c r="F95" s="5"/>
      <c r="H95" s="19"/>
      <c r="Q95" s="5"/>
      <c r="R95" s="9"/>
    </row>
    <row r="96">
      <c r="A96" s="39">
        <v>45714.0</v>
      </c>
      <c r="B96" s="4" t="s">
        <v>269</v>
      </c>
      <c r="C96" s="21">
        <v>19.94</v>
      </c>
      <c r="E96" s="19"/>
      <c r="F96" s="5"/>
      <c r="H96" s="19"/>
      <c r="Q96" s="5"/>
      <c r="R96" s="9"/>
    </row>
    <row r="97">
      <c r="A97" s="39">
        <v>45714.0</v>
      </c>
      <c r="B97" s="4" t="s">
        <v>47</v>
      </c>
      <c r="C97" s="21">
        <v>16.43</v>
      </c>
      <c r="E97" s="19"/>
      <c r="F97" s="5"/>
      <c r="H97" s="19"/>
      <c r="Q97" s="5"/>
      <c r="R97" s="9"/>
    </row>
    <row r="98">
      <c r="A98" s="39">
        <v>45714.0</v>
      </c>
      <c r="B98" s="4" t="s">
        <v>57</v>
      </c>
      <c r="C98" s="21">
        <v>6.5</v>
      </c>
      <c r="E98" s="19"/>
      <c r="F98" s="5"/>
      <c r="H98" s="19"/>
      <c r="Q98" s="5"/>
      <c r="R98" s="9"/>
    </row>
    <row r="99">
      <c r="A99" s="39">
        <v>45715.0</v>
      </c>
      <c r="B99" s="4" t="s">
        <v>62</v>
      </c>
      <c r="C99" s="21">
        <v>3.3</v>
      </c>
      <c r="E99" s="19"/>
      <c r="F99" s="5"/>
      <c r="H99" s="19"/>
      <c r="Q99" s="5"/>
      <c r="R99" s="9"/>
    </row>
    <row r="100">
      <c r="A100" s="39">
        <v>45715.0</v>
      </c>
      <c r="B100" s="4" t="s">
        <v>76</v>
      </c>
      <c r="C100" s="21">
        <v>0.99</v>
      </c>
      <c r="E100" s="19"/>
      <c r="F100" s="5"/>
      <c r="H100" s="19"/>
      <c r="Q100" s="5"/>
      <c r="R100" s="9"/>
    </row>
    <row r="101">
      <c r="A101" s="39">
        <v>45715.0</v>
      </c>
      <c r="B101" s="4" t="s">
        <v>140</v>
      </c>
      <c r="C101" s="21">
        <v>12.75</v>
      </c>
      <c r="E101" s="19"/>
      <c r="F101" s="5"/>
      <c r="H101" s="19"/>
      <c r="Q101" s="5"/>
      <c r="R101" s="9"/>
    </row>
    <row r="102">
      <c r="A102" s="39">
        <v>45715.0</v>
      </c>
      <c r="B102" s="4" t="s">
        <v>127</v>
      </c>
      <c r="C102" s="21">
        <v>1.75</v>
      </c>
      <c r="E102" s="19"/>
      <c r="F102" s="5"/>
      <c r="H102" s="19"/>
      <c r="Q102" s="5"/>
      <c r="R102" s="9"/>
    </row>
    <row r="103">
      <c r="A103" s="39">
        <v>45715.0</v>
      </c>
      <c r="B103" s="4" t="s">
        <v>270</v>
      </c>
      <c r="C103" s="21">
        <v>35.0</v>
      </c>
      <c r="E103" s="19"/>
      <c r="F103" s="5"/>
      <c r="H103" s="19"/>
      <c r="Q103" s="5"/>
      <c r="R103" s="9"/>
    </row>
    <row r="104">
      <c r="A104" s="39">
        <v>45715.0</v>
      </c>
      <c r="B104" s="4" t="s">
        <v>66</v>
      </c>
      <c r="C104" s="21">
        <v>0.8</v>
      </c>
      <c r="E104" s="19"/>
      <c r="F104" s="5"/>
      <c r="H104" s="19"/>
      <c r="Q104" s="5"/>
      <c r="R104" s="9"/>
    </row>
    <row r="105">
      <c r="A105" s="39">
        <v>45715.0</v>
      </c>
      <c r="B105" s="4" t="s">
        <v>230</v>
      </c>
      <c r="C105" s="21">
        <v>24.99</v>
      </c>
      <c r="E105" s="19"/>
      <c r="F105" s="5"/>
      <c r="H105" s="19"/>
      <c r="Q105" s="5"/>
      <c r="R105" s="9"/>
    </row>
    <row r="106">
      <c r="A106" s="39">
        <v>45715.0</v>
      </c>
      <c r="B106" s="4" t="s">
        <v>127</v>
      </c>
      <c r="C106" s="21">
        <v>8.0</v>
      </c>
      <c r="E106" s="19"/>
      <c r="F106" s="5"/>
      <c r="H106" s="19"/>
      <c r="Q106" s="5"/>
      <c r="R106" s="9"/>
    </row>
    <row r="107">
      <c r="A107" s="39">
        <v>45716.0</v>
      </c>
      <c r="B107" s="4" t="s">
        <v>271</v>
      </c>
      <c r="C107" s="21">
        <v>8.0</v>
      </c>
      <c r="E107" s="19"/>
      <c r="F107" s="5"/>
      <c r="H107" s="19"/>
      <c r="Q107" s="5"/>
      <c r="R107" s="9"/>
    </row>
    <row r="108">
      <c r="A108" s="39">
        <v>45716.0</v>
      </c>
      <c r="B108" s="4" t="s">
        <v>47</v>
      </c>
      <c r="C108" s="4">
        <v>3.75</v>
      </c>
      <c r="E108" s="19"/>
      <c r="F108" s="5"/>
      <c r="H108" s="19"/>
      <c r="Q108" s="5"/>
      <c r="R108" s="9"/>
    </row>
    <row r="109">
      <c r="A109" s="39">
        <v>45716.0</v>
      </c>
      <c r="B109" s="21" t="s">
        <v>272</v>
      </c>
      <c r="C109" s="4">
        <v>15.73</v>
      </c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V2">
    <cfRule type="cellIs" dxfId="2" priority="1" operator="greaterThan">
      <formula>0</formula>
    </cfRule>
  </conditionalFormatting>
  <conditionalFormatting sqref="V2">
    <cfRule type="cellIs" dxfId="3" priority="2" operator="lessThan">
      <formula>0</formula>
    </cfRule>
  </conditionalFormatting>
  <conditionalFormatting sqref="N1:N33">
    <cfRule type="timePeriod" dxfId="4" priority="3" timePeriod="today"/>
  </conditionalFormatting>
  <conditionalFormatting sqref="N1 N33:N999">
    <cfRule type="timePeriod" dxfId="5" priority="4" timePeriod="today"/>
  </conditionalFormatting>
  <conditionalFormatting sqref="O1:O999 Q1:Q999">
    <cfRule type="cellIs" dxfId="0" priority="5" operator="lessThan">
      <formula>25</formula>
    </cfRule>
  </conditionalFormatting>
  <conditionalFormatting sqref="O1:O999 Q1:Q999">
    <cfRule type="cellIs" dxfId="6" priority="6" operator="lessThan">
      <formula>35</formula>
    </cfRule>
  </conditionalFormatting>
  <conditionalFormatting sqref="O1:O999 Q1:Q999">
    <cfRule type="cellIs" dxfId="1" priority="7" operator="greaterThanOrEqual">
      <formula>35</formula>
    </cfRule>
  </conditionalFormatting>
  <conditionalFormatting sqref="I1">
    <cfRule type="cellIs" dxfId="1" priority="8" operator="lessThan">
      <formula>0</formula>
    </cfRule>
  </conditionalFormatting>
  <conditionalFormatting sqref="I1">
    <cfRule type="cellIs" dxfId="0" priority="9" operator="greaterThan">
      <formula>0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109.58</v>
      </c>
      <c r="H1" s="1" t="s">
        <v>46</v>
      </c>
      <c r="I1" s="5">
        <f>I6-I7</f>
        <v>-61</v>
      </c>
      <c r="J1" s="9" t="str">
        <f>I1/COUNTIF(N:N, "&gt;=" &amp; TODAY())</f>
        <v>#DIV/0!</v>
      </c>
      <c r="K1" s="1" t="s">
        <v>47</v>
      </c>
      <c r="L1" s="5">
        <f t="shared" ref="L1:L6" si="1">SUMIF(B:B,K1,C:I)</f>
        <v>73.35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" t="s">
        <v>233</v>
      </c>
      <c r="U1" s="1" t="s">
        <v>234</v>
      </c>
      <c r="V1" s="1" t="s">
        <v>235</v>
      </c>
      <c r="W1" s="19"/>
      <c r="X1" s="19"/>
      <c r="Y1" s="19"/>
      <c r="Z1" s="19"/>
    </row>
    <row r="2">
      <c r="A2" s="39">
        <v>45658.0</v>
      </c>
      <c r="B2" s="4" t="s">
        <v>8</v>
      </c>
      <c r="C2" s="21">
        <v>1000.0</v>
      </c>
      <c r="E2" s="1" t="s">
        <v>52</v>
      </c>
      <c r="F2" s="5">
        <f>SUMIF(B:B,"Deliveroo",C:C)+SUMIF(B:B,"Just eat",C:C)+SUMIF(B:B,"Uber eats",C:C)+SUMIF(B:B,E2,C:C)</f>
        <v>98.33</v>
      </c>
      <c r="H2" s="1" t="s">
        <v>6</v>
      </c>
      <c r="I2" s="5">
        <f>SUMIF(B:B,H2,C:C)</f>
        <v>0</v>
      </c>
      <c r="K2" s="1" t="s">
        <v>53</v>
      </c>
      <c r="L2" s="5">
        <f t="shared" si="1"/>
        <v>24.46</v>
      </c>
      <c r="N2" s="39">
        <v>45658.0</v>
      </c>
      <c r="O2" s="5">
        <f>sumif(A:A,N2,C:C)-sum(C2:C4)-sum(C8,C10,C9)</f>
        <v>33.96</v>
      </c>
      <c r="P2" s="5">
        <f>SUM(O2)</f>
        <v>33.96</v>
      </c>
      <c r="Q2" s="5">
        <f t="shared" ref="Q2:Q32" si="2">P2/(ROW()-1)</f>
        <v>33.96</v>
      </c>
      <c r="R2" s="9">
        <f t="shared" ref="R2:R32" si="3">count(N:N)*Q2</f>
        <v>1052.76</v>
      </c>
      <c r="T2" s="9" t="str">
        <f>IFERROR(__xludf.DUMMYFUNCTION("(I1+(FILTER(O:O,N:N=TODAY()-1)))/(COUNTIF(N:N, ""&gt;="" &amp; TODAY())+1)"),"#N/A")</f>
        <v>#N/A</v>
      </c>
      <c r="U2" s="9" t="str">
        <f>I1/COUNTIF(N:N, "&gt;=" &amp; TODAY())</f>
        <v>#DIV/0!</v>
      </c>
      <c r="V2" s="40" t="str">
        <f>U2-T2</f>
        <v>#DIV/0!</v>
      </c>
    </row>
    <row r="3">
      <c r="A3" s="39">
        <v>45658.0</v>
      </c>
      <c r="B3" s="4" t="s">
        <v>54</v>
      </c>
      <c r="C3" s="47">
        <v>535.0</v>
      </c>
      <c r="E3" s="1" t="s">
        <v>209</v>
      </c>
      <c r="F3" s="5">
        <f>SUMIF(B:B,"Pret",C:C)+SUMIF(B:B,"Breakfast",C:C)</f>
        <v>14.45</v>
      </c>
      <c r="H3" s="1" t="s">
        <v>8</v>
      </c>
      <c r="I3" s="5">
        <f>SUMIF(B:B,H3,C:C)+I1</f>
        <v>939</v>
      </c>
      <c r="K3" s="1" t="s">
        <v>56</v>
      </c>
      <c r="L3" s="5">
        <f t="shared" si="1"/>
        <v>0</v>
      </c>
      <c r="N3" s="39">
        <v>45659.0</v>
      </c>
      <c r="O3" s="40">
        <f t="shared" ref="O3:O32" si="4">sumif(A:A,N3,C:C)</f>
        <v>27.46</v>
      </c>
      <c r="P3" s="5">
        <f t="shared" ref="P3:P32" si="5">P2+O3</f>
        <v>61.42</v>
      </c>
      <c r="Q3" s="5">
        <f t="shared" si="2"/>
        <v>30.71</v>
      </c>
      <c r="R3" s="9">
        <f t="shared" si="3"/>
        <v>952.01</v>
      </c>
    </row>
    <row r="4">
      <c r="A4" s="39">
        <v>45658.0</v>
      </c>
      <c r="B4" s="4" t="s">
        <v>6</v>
      </c>
      <c r="C4" s="21">
        <v>0.0</v>
      </c>
      <c r="E4" s="1" t="s">
        <v>140</v>
      </c>
      <c r="F4" s="5">
        <f t="shared" ref="F4:F5" si="6">SUMIF(B:B,E4,C:C)</f>
        <v>67.6</v>
      </c>
      <c r="H4" s="1" t="s">
        <v>58</v>
      </c>
      <c r="I4" s="5">
        <f>I2+I3</f>
        <v>939</v>
      </c>
      <c r="K4" s="1" t="s">
        <v>59</v>
      </c>
      <c r="L4" s="5">
        <f t="shared" si="1"/>
        <v>29.65</v>
      </c>
      <c r="N4" s="39">
        <v>45660.0</v>
      </c>
      <c r="O4" s="40">
        <f t="shared" si="4"/>
        <v>0</v>
      </c>
      <c r="P4" s="5">
        <f t="shared" si="5"/>
        <v>61.42</v>
      </c>
      <c r="Q4" s="5">
        <f t="shared" si="2"/>
        <v>20.47333333</v>
      </c>
      <c r="R4" s="9">
        <f t="shared" si="3"/>
        <v>634.6733333</v>
      </c>
    </row>
    <row r="5">
      <c r="A5" s="39">
        <v>45658.0</v>
      </c>
      <c r="B5" s="4" t="s">
        <v>252</v>
      </c>
      <c r="C5" s="21">
        <v>9.0</v>
      </c>
      <c r="E5" s="1" t="s">
        <v>210</v>
      </c>
      <c r="F5" s="5">
        <f t="shared" si="6"/>
        <v>0</v>
      </c>
      <c r="K5" s="1" t="s">
        <v>62</v>
      </c>
      <c r="L5" s="5">
        <f t="shared" si="1"/>
        <v>1.2</v>
      </c>
      <c r="N5" s="39">
        <v>45661.0</v>
      </c>
      <c r="O5" s="40">
        <f t="shared" si="4"/>
        <v>63.43</v>
      </c>
      <c r="P5" s="5">
        <f t="shared" si="5"/>
        <v>124.85</v>
      </c>
      <c r="Q5" s="5">
        <f t="shared" si="2"/>
        <v>31.2125</v>
      </c>
      <c r="R5" s="9">
        <f t="shared" si="3"/>
        <v>967.5875</v>
      </c>
    </row>
    <row r="6">
      <c r="A6" s="39">
        <v>45658.0</v>
      </c>
      <c r="B6" s="4" t="s">
        <v>253</v>
      </c>
      <c r="C6" s="12">
        <v>16.71</v>
      </c>
      <c r="E6" s="1" t="s">
        <v>57</v>
      </c>
      <c r="F6" s="5">
        <f>sum(L:L)+sumif(B:B,"Groceries",C:C)</f>
        <v>244.26</v>
      </c>
      <c r="H6" s="1" t="s">
        <v>65</v>
      </c>
      <c r="I6" s="21">
        <v>2988.17</v>
      </c>
      <c r="K6" s="1" t="s">
        <v>66</v>
      </c>
      <c r="L6" s="5">
        <f t="shared" si="1"/>
        <v>15.55</v>
      </c>
      <c r="N6" s="39">
        <v>45662.0</v>
      </c>
      <c r="O6" s="40">
        <f t="shared" si="4"/>
        <v>11.8</v>
      </c>
      <c r="P6" s="5">
        <f t="shared" si="5"/>
        <v>136.65</v>
      </c>
      <c r="Q6" s="5">
        <f t="shared" si="2"/>
        <v>27.33</v>
      </c>
      <c r="R6" s="9">
        <f t="shared" si="3"/>
        <v>847.23</v>
      </c>
    </row>
    <row r="7">
      <c r="A7" s="39">
        <v>45658.0</v>
      </c>
      <c r="B7" s="4" t="s">
        <v>254</v>
      </c>
      <c r="C7" s="21">
        <f>99/12</f>
        <v>8.25</v>
      </c>
      <c r="E7" s="42" t="s">
        <v>61</v>
      </c>
      <c r="F7" s="5">
        <f>SUMIF(B:B,"Games",C:C)+SUMIF(B:B,"Spotify",C:C)+SUMIF(B:B,"Streaming",C:C)+SUMIF(B:B,"Book",C:C)+SUMIF(B:B,"Audible",C:C)+SUMIF(B:B,"Cinema",C:C)+SUMIF(B:B,"Theatre",C:C)</f>
        <v>37.98</v>
      </c>
      <c r="H7" s="1" t="s">
        <v>68</v>
      </c>
      <c r="I7" s="5">
        <f>sum(C:C)</f>
        <v>3049.17</v>
      </c>
      <c r="N7" s="39">
        <v>45663.0</v>
      </c>
      <c r="O7" s="40">
        <f t="shared" si="4"/>
        <v>79.07</v>
      </c>
      <c r="P7" s="5">
        <f t="shared" si="5"/>
        <v>215.72</v>
      </c>
      <c r="Q7" s="5">
        <f t="shared" si="2"/>
        <v>35.95333333</v>
      </c>
      <c r="R7" s="9">
        <f t="shared" si="3"/>
        <v>1114.553333</v>
      </c>
    </row>
    <row r="8">
      <c r="A8" s="39">
        <v>45658.0</v>
      </c>
      <c r="B8" s="4" t="s">
        <v>273</v>
      </c>
      <c r="C8" s="21">
        <v>165.0</v>
      </c>
      <c r="E8" s="1" t="s">
        <v>64</v>
      </c>
      <c r="F8" s="5">
        <f>SUMIF(B:B,E8,C:C)+SUMIF(B:B,"Shoes",C:C)</f>
        <v>14.9</v>
      </c>
      <c r="H8" s="1" t="s">
        <v>72</v>
      </c>
      <c r="I8" s="5">
        <f>sum(F:F)+I2+C2</f>
        <v>2622.61</v>
      </c>
      <c r="N8" s="39">
        <v>45664.0</v>
      </c>
      <c r="O8" s="40">
        <f t="shared" si="4"/>
        <v>15.25</v>
      </c>
      <c r="P8" s="5">
        <f t="shared" si="5"/>
        <v>230.97</v>
      </c>
      <c r="Q8" s="5">
        <f t="shared" si="2"/>
        <v>32.99571429</v>
      </c>
      <c r="R8" s="9">
        <f t="shared" si="3"/>
        <v>1022.867143</v>
      </c>
    </row>
    <row r="9">
      <c r="A9" s="39">
        <v>45658.0</v>
      </c>
      <c r="B9" s="4" t="s">
        <v>83</v>
      </c>
      <c r="C9" s="21">
        <v>63.5</v>
      </c>
      <c r="E9" s="1" t="s">
        <v>54</v>
      </c>
      <c r="F9" s="5">
        <f>SUMIF(B:B,E9,C:C)+SUMIF(B:B,"Phone",C:C)</f>
        <v>594.46</v>
      </c>
      <c r="H9" s="1" t="s">
        <v>74</v>
      </c>
      <c r="I9" s="5">
        <f>I7-I8</f>
        <v>426.56</v>
      </c>
      <c r="N9" s="39">
        <v>45665.0</v>
      </c>
      <c r="O9" s="40">
        <f t="shared" si="4"/>
        <v>10.19</v>
      </c>
      <c r="P9" s="5">
        <f t="shared" si="5"/>
        <v>241.16</v>
      </c>
      <c r="Q9" s="5">
        <f t="shared" si="2"/>
        <v>30.145</v>
      </c>
      <c r="R9" s="9">
        <f t="shared" si="3"/>
        <v>934.495</v>
      </c>
    </row>
    <row r="10">
      <c r="A10" s="39">
        <v>45658.0</v>
      </c>
      <c r="B10" s="4" t="s">
        <v>273</v>
      </c>
      <c r="C10" s="21">
        <v>229.82</v>
      </c>
      <c r="E10" s="1" t="s">
        <v>127</v>
      </c>
      <c r="F10" s="5">
        <f>SUMIF(B:B,E10,C:C)</f>
        <v>15.4</v>
      </c>
      <c r="N10" s="39">
        <v>45666.0</v>
      </c>
      <c r="O10" s="40">
        <f t="shared" si="4"/>
        <v>27.21</v>
      </c>
      <c r="P10" s="5">
        <f t="shared" si="5"/>
        <v>268.37</v>
      </c>
      <c r="Q10" s="5">
        <f t="shared" si="2"/>
        <v>29.81888889</v>
      </c>
      <c r="R10" s="9">
        <f t="shared" si="3"/>
        <v>924.3855556</v>
      </c>
    </row>
    <row r="11">
      <c r="A11" s="39">
        <v>45659.0</v>
      </c>
      <c r="B11" s="4" t="s">
        <v>274</v>
      </c>
      <c r="C11" s="21">
        <f>8+2.91</f>
        <v>10.91</v>
      </c>
      <c r="E11" s="1" t="s">
        <v>73</v>
      </c>
      <c r="F11" s="5">
        <f>SUMIF(B:B,"Uber",C:C)</f>
        <v>0</v>
      </c>
      <c r="H11" s="1" t="s">
        <v>3</v>
      </c>
      <c r="I11" s="28">
        <f>I4/I6</f>
        <v>0.3142391497</v>
      </c>
      <c r="N11" s="39">
        <v>45667.0</v>
      </c>
      <c r="O11" s="40">
        <f t="shared" si="4"/>
        <v>41.35</v>
      </c>
      <c r="P11" s="5">
        <f t="shared" si="5"/>
        <v>309.72</v>
      </c>
      <c r="Q11" s="5">
        <f t="shared" si="2"/>
        <v>30.972</v>
      </c>
      <c r="R11" s="9">
        <f t="shared" si="3"/>
        <v>960.132</v>
      </c>
    </row>
    <row r="12">
      <c r="A12" s="39">
        <v>45659.0</v>
      </c>
      <c r="B12" s="4" t="s">
        <v>57</v>
      </c>
      <c r="C12" s="4">
        <v>16.55</v>
      </c>
      <c r="E12" s="1" t="s">
        <v>75</v>
      </c>
      <c r="F12" s="9">
        <f>SUMIF(B:B,"Gym",C:C)+SUMIF(B:B,"Climbing",C:C)+SUMIF(B:B,"Tennis",C:C)</f>
        <v>16.71</v>
      </c>
      <c r="N12" s="39">
        <v>45668.0</v>
      </c>
      <c r="O12" s="40">
        <f t="shared" si="4"/>
        <v>36.45</v>
      </c>
      <c r="P12" s="5">
        <f t="shared" si="5"/>
        <v>346.17</v>
      </c>
      <c r="Q12" s="5">
        <f t="shared" si="2"/>
        <v>31.47</v>
      </c>
      <c r="R12" s="9">
        <f t="shared" si="3"/>
        <v>975.57</v>
      </c>
    </row>
    <row r="13">
      <c r="A13" s="39">
        <v>45661.0</v>
      </c>
      <c r="B13" s="4" t="s">
        <v>52</v>
      </c>
      <c r="C13" s="4">
        <f>45.08+18.35</f>
        <v>63.43</v>
      </c>
      <c r="E13" s="1" t="s">
        <v>76</v>
      </c>
      <c r="F13" s="5">
        <f>SUMIF(B:B,"Coffee",C:C)</f>
        <v>14.12</v>
      </c>
      <c r="N13" s="39">
        <v>45669.0</v>
      </c>
      <c r="O13" s="40">
        <f t="shared" si="4"/>
        <v>6.5</v>
      </c>
      <c r="P13" s="5">
        <f t="shared" si="5"/>
        <v>352.67</v>
      </c>
      <c r="Q13" s="5">
        <f t="shared" si="2"/>
        <v>29.38916667</v>
      </c>
      <c r="R13" s="9">
        <f t="shared" si="3"/>
        <v>911.0641667</v>
      </c>
    </row>
    <row r="14">
      <c r="A14" s="39">
        <v>45662.0</v>
      </c>
      <c r="B14" s="4" t="s">
        <v>47</v>
      </c>
      <c r="C14" s="21">
        <v>11.8</v>
      </c>
      <c r="E14" s="1" t="s">
        <v>77</v>
      </c>
      <c r="F14" s="5">
        <f>C8+C10</f>
        <v>394.82</v>
      </c>
      <c r="H14" s="19"/>
      <c r="N14" s="39">
        <v>45670.0</v>
      </c>
      <c r="O14" s="40">
        <f t="shared" si="4"/>
        <v>21.48</v>
      </c>
      <c r="P14" s="5">
        <f t="shared" si="5"/>
        <v>374.15</v>
      </c>
      <c r="Q14" s="5">
        <f t="shared" si="2"/>
        <v>28.78076923</v>
      </c>
      <c r="R14" s="9">
        <f t="shared" si="3"/>
        <v>892.2038462</v>
      </c>
    </row>
    <row r="15">
      <c r="A15" s="39">
        <v>45663.0</v>
      </c>
      <c r="B15" s="4" t="s">
        <v>59</v>
      </c>
      <c r="C15" s="21">
        <v>29.65</v>
      </c>
      <c r="E15" s="1"/>
      <c r="H15" s="1" t="s">
        <v>55</v>
      </c>
      <c r="I15" s="5">
        <f>sum(F2:F5)+F13</f>
        <v>194.5</v>
      </c>
      <c r="N15" s="39">
        <v>45671.0</v>
      </c>
      <c r="O15" s="40">
        <f t="shared" si="4"/>
        <v>12.32</v>
      </c>
      <c r="P15" s="5">
        <f t="shared" si="5"/>
        <v>386.47</v>
      </c>
      <c r="Q15" s="5">
        <f t="shared" si="2"/>
        <v>27.605</v>
      </c>
      <c r="R15" s="9">
        <f t="shared" si="3"/>
        <v>855.755</v>
      </c>
    </row>
    <row r="16">
      <c r="A16" s="39">
        <v>45663.0</v>
      </c>
      <c r="B16" s="4" t="s">
        <v>112</v>
      </c>
      <c r="C16" s="21">
        <v>19.42</v>
      </c>
      <c r="N16" s="39">
        <v>45672.0</v>
      </c>
      <c r="O16" s="40">
        <f t="shared" si="4"/>
        <v>18.59</v>
      </c>
      <c r="P16" s="5">
        <f t="shared" si="5"/>
        <v>405.06</v>
      </c>
      <c r="Q16" s="5">
        <f t="shared" si="2"/>
        <v>27.004</v>
      </c>
      <c r="R16" s="9">
        <f t="shared" si="3"/>
        <v>837.124</v>
      </c>
    </row>
    <row r="17">
      <c r="A17" s="39">
        <v>45663.0</v>
      </c>
      <c r="B17" s="4" t="s">
        <v>275</v>
      </c>
      <c r="C17" s="21">
        <v>30.0</v>
      </c>
      <c r="N17" s="39">
        <v>45673.0</v>
      </c>
      <c r="O17" s="40">
        <f t="shared" si="4"/>
        <v>27.88</v>
      </c>
      <c r="P17" s="5">
        <f t="shared" si="5"/>
        <v>432.94</v>
      </c>
      <c r="Q17" s="5">
        <f t="shared" si="2"/>
        <v>27.05875</v>
      </c>
      <c r="R17" s="9">
        <f t="shared" si="3"/>
        <v>838.82125</v>
      </c>
    </row>
    <row r="18">
      <c r="A18" s="39">
        <v>45664.0</v>
      </c>
      <c r="B18" s="4" t="s">
        <v>53</v>
      </c>
      <c r="C18" s="21">
        <v>15.25</v>
      </c>
      <c r="N18" s="39">
        <v>45674.0</v>
      </c>
      <c r="O18" s="40">
        <f t="shared" si="4"/>
        <v>199.95</v>
      </c>
      <c r="P18" s="5">
        <f t="shared" si="5"/>
        <v>632.89</v>
      </c>
      <c r="Q18" s="5">
        <f t="shared" si="2"/>
        <v>37.22882353</v>
      </c>
      <c r="R18" s="9">
        <f t="shared" si="3"/>
        <v>1154.093529</v>
      </c>
    </row>
    <row r="19">
      <c r="A19" s="39">
        <v>45665.0</v>
      </c>
      <c r="B19" s="4" t="s">
        <v>230</v>
      </c>
      <c r="C19" s="21">
        <v>8.99</v>
      </c>
      <c r="N19" s="39">
        <v>45675.0</v>
      </c>
      <c r="O19" s="40">
        <f t="shared" si="4"/>
        <v>87.02</v>
      </c>
      <c r="P19" s="5">
        <f t="shared" si="5"/>
        <v>719.91</v>
      </c>
      <c r="Q19" s="5">
        <f t="shared" si="2"/>
        <v>39.995</v>
      </c>
      <c r="R19" s="9">
        <f t="shared" si="3"/>
        <v>1239.845</v>
      </c>
    </row>
    <row r="20">
      <c r="A20" s="39">
        <v>45665.0</v>
      </c>
      <c r="B20" s="4" t="s">
        <v>47</v>
      </c>
      <c r="C20" s="21">
        <v>1.2</v>
      </c>
      <c r="N20" s="39">
        <v>45676.0</v>
      </c>
      <c r="O20" s="40">
        <f t="shared" si="4"/>
        <v>53.15</v>
      </c>
      <c r="P20" s="5">
        <f t="shared" si="5"/>
        <v>773.06</v>
      </c>
      <c r="Q20" s="5">
        <f t="shared" si="2"/>
        <v>40.68736842</v>
      </c>
      <c r="R20" s="9">
        <f t="shared" si="3"/>
        <v>1261.308421</v>
      </c>
    </row>
    <row r="21">
      <c r="A21" s="39">
        <v>45666.0</v>
      </c>
      <c r="B21" s="4" t="s">
        <v>276</v>
      </c>
      <c r="C21" s="21">
        <v>18.0</v>
      </c>
      <c r="E21" s="19"/>
      <c r="F21" s="5"/>
      <c r="N21" s="39">
        <v>45677.0</v>
      </c>
      <c r="O21" s="40">
        <f t="shared" si="4"/>
        <v>1.55</v>
      </c>
      <c r="P21" s="5">
        <f t="shared" si="5"/>
        <v>774.61</v>
      </c>
      <c r="Q21" s="5">
        <f t="shared" si="2"/>
        <v>38.7305</v>
      </c>
      <c r="R21" s="9">
        <f t="shared" si="3"/>
        <v>1200.6455</v>
      </c>
    </row>
    <row r="22">
      <c r="A22" s="39">
        <v>45666.0</v>
      </c>
      <c r="B22" s="4" t="s">
        <v>53</v>
      </c>
      <c r="C22" s="21">
        <v>9.21</v>
      </c>
      <c r="E22" s="19"/>
      <c r="F22" s="5"/>
      <c r="N22" s="39">
        <v>45678.0</v>
      </c>
      <c r="O22" s="40">
        <f t="shared" si="4"/>
        <v>24.3</v>
      </c>
      <c r="P22" s="5">
        <f t="shared" si="5"/>
        <v>798.91</v>
      </c>
      <c r="Q22" s="5">
        <f t="shared" si="2"/>
        <v>38.04333333</v>
      </c>
      <c r="R22" s="9">
        <f t="shared" si="3"/>
        <v>1179.343333</v>
      </c>
    </row>
    <row r="23">
      <c r="A23" s="39">
        <v>45667.0</v>
      </c>
      <c r="B23" s="4" t="s">
        <v>47</v>
      </c>
      <c r="C23" s="21">
        <v>4.95</v>
      </c>
      <c r="E23" s="19"/>
      <c r="F23" s="5"/>
      <c r="H23" s="19"/>
      <c r="N23" s="39">
        <v>45679.0</v>
      </c>
      <c r="O23" s="40">
        <f t="shared" si="4"/>
        <v>24.38</v>
      </c>
      <c r="P23" s="5">
        <f t="shared" si="5"/>
        <v>823.29</v>
      </c>
      <c r="Q23" s="5">
        <f t="shared" si="2"/>
        <v>37.42227273</v>
      </c>
      <c r="R23" s="9">
        <f t="shared" si="3"/>
        <v>1160.090455</v>
      </c>
    </row>
    <row r="24">
      <c r="A24" s="39">
        <v>45667.0</v>
      </c>
      <c r="B24" s="4" t="s">
        <v>45</v>
      </c>
      <c r="C24" s="21">
        <f>10.4+14.5+11.5</f>
        <v>36.4</v>
      </c>
      <c r="E24" s="19"/>
      <c r="F24" s="5"/>
      <c r="H24" s="19"/>
      <c r="N24" s="39">
        <v>45680.0</v>
      </c>
      <c r="O24" s="40">
        <f t="shared" si="4"/>
        <v>11.64</v>
      </c>
      <c r="P24" s="5">
        <f t="shared" si="5"/>
        <v>834.93</v>
      </c>
      <c r="Q24" s="5">
        <f t="shared" si="2"/>
        <v>36.30130435</v>
      </c>
      <c r="R24" s="9">
        <f t="shared" si="3"/>
        <v>1125.340435</v>
      </c>
    </row>
    <row r="25">
      <c r="A25" s="39">
        <v>45668.0</v>
      </c>
      <c r="B25" s="4" t="s">
        <v>57</v>
      </c>
      <c r="C25" s="4">
        <v>2.99</v>
      </c>
      <c r="E25" s="19"/>
      <c r="F25" s="5"/>
      <c r="H25" s="19"/>
      <c r="N25" s="39">
        <v>45681.0</v>
      </c>
      <c r="O25" s="40">
        <f t="shared" si="4"/>
        <v>31.3</v>
      </c>
      <c r="P25" s="5">
        <f t="shared" si="5"/>
        <v>866.23</v>
      </c>
      <c r="Q25" s="5">
        <f t="shared" si="2"/>
        <v>36.09291667</v>
      </c>
      <c r="R25" s="9">
        <f t="shared" si="3"/>
        <v>1118.880417</v>
      </c>
    </row>
    <row r="26">
      <c r="A26" s="39">
        <v>45668.0</v>
      </c>
      <c r="B26" s="4" t="s">
        <v>140</v>
      </c>
      <c r="C26" s="21">
        <v>18.56</v>
      </c>
      <c r="E26" s="19"/>
      <c r="F26" s="5"/>
      <c r="H26" s="19"/>
      <c r="N26" s="39">
        <v>45682.0</v>
      </c>
      <c r="O26" s="40">
        <f t="shared" si="4"/>
        <v>0</v>
      </c>
      <c r="P26" s="5">
        <f t="shared" si="5"/>
        <v>866.23</v>
      </c>
      <c r="Q26" s="5">
        <f t="shared" si="2"/>
        <v>34.6492</v>
      </c>
      <c r="R26" s="9">
        <f t="shared" si="3"/>
        <v>1074.1252</v>
      </c>
    </row>
    <row r="27">
      <c r="A27" s="39">
        <v>45668.0</v>
      </c>
      <c r="B27" s="4" t="s">
        <v>64</v>
      </c>
      <c r="C27" s="21">
        <v>14.9</v>
      </c>
      <c r="E27" s="19"/>
      <c r="F27" s="5"/>
      <c r="H27" s="19"/>
      <c r="N27" s="39">
        <v>45683.0</v>
      </c>
      <c r="O27" s="40">
        <f t="shared" si="4"/>
        <v>27.69</v>
      </c>
      <c r="P27" s="5">
        <f t="shared" si="5"/>
        <v>893.92</v>
      </c>
      <c r="Q27" s="5">
        <f t="shared" si="2"/>
        <v>34.38153846</v>
      </c>
      <c r="R27" s="9">
        <f t="shared" si="3"/>
        <v>1065.827692</v>
      </c>
    </row>
    <row r="28">
      <c r="A28" s="39">
        <v>45669.0</v>
      </c>
      <c r="B28" s="4" t="s">
        <v>277</v>
      </c>
      <c r="C28" s="21">
        <v>6.5</v>
      </c>
      <c r="E28" s="19"/>
      <c r="F28" s="5"/>
      <c r="H28" s="19"/>
      <c r="N28" s="39">
        <v>45684.0</v>
      </c>
      <c r="O28" s="40">
        <f t="shared" si="4"/>
        <v>0</v>
      </c>
      <c r="P28" s="5">
        <f t="shared" si="5"/>
        <v>893.92</v>
      </c>
      <c r="Q28" s="5">
        <f t="shared" si="2"/>
        <v>33.10814815</v>
      </c>
      <c r="R28" s="9">
        <f t="shared" si="3"/>
        <v>1026.352593</v>
      </c>
    </row>
    <row r="29">
      <c r="A29" s="39">
        <v>45670.0</v>
      </c>
      <c r="B29" s="4" t="s">
        <v>47</v>
      </c>
      <c r="C29" s="21">
        <f>3.2+9.88</f>
        <v>13.08</v>
      </c>
      <c r="E29" s="19"/>
      <c r="F29" s="5"/>
      <c r="H29" s="19"/>
      <c r="N29" s="39">
        <v>45685.0</v>
      </c>
      <c r="O29" s="40">
        <f t="shared" si="4"/>
        <v>2.82</v>
      </c>
      <c r="P29" s="5">
        <f t="shared" si="5"/>
        <v>896.74</v>
      </c>
      <c r="Q29" s="5">
        <f t="shared" si="2"/>
        <v>32.02642857</v>
      </c>
      <c r="R29" s="9">
        <f t="shared" si="3"/>
        <v>992.8192857</v>
      </c>
    </row>
    <row r="30">
      <c r="A30" s="39">
        <v>45670.0</v>
      </c>
      <c r="B30" s="4" t="s">
        <v>76</v>
      </c>
      <c r="C30" s="21">
        <v>3.9</v>
      </c>
      <c r="E30" s="19"/>
      <c r="F30" s="5"/>
      <c r="H30" s="19"/>
      <c r="N30" s="39">
        <v>45686.0</v>
      </c>
      <c r="O30" s="40">
        <f t="shared" si="4"/>
        <v>24.27</v>
      </c>
      <c r="P30" s="5">
        <f t="shared" si="5"/>
        <v>921.01</v>
      </c>
      <c r="Q30" s="5">
        <f t="shared" si="2"/>
        <v>31.75896552</v>
      </c>
      <c r="R30" s="9">
        <f t="shared" si="3"/>
        <v>984.527931</v>
      </c>
    </row>
    <row r="31">
      <c r="A31" s="39">
        <v>45670.0</v>
      </c>
      <c r="B31" s="4" t="s">
        <v>89</v>
      </c>
      <c r="C31" s="21">
        <v>4.5</v>
      </c>
      <c r="E31" s="19"/>
      <c r="F31" s="5"/>
      <c r="H31" s="19"/>
      <c r="N31" s="39">
        <v>45687.0</v>
      </c>
      <c r="O31" s="40">
        <f t="shared" si="4"/>
        <v>35.5</v>
      </c>
      <c r="P31" s="5">
        <f t="shared" si="5"/>
        <v>956.51</v>
      </c>
      <c r="Q31" s="5">
        <f t="shared" si="2"/>
        <v>31.88366667</v>
      </c>
      <c r="R31" s="9">
        <f t="shared" si="3"/>
        <v>988.3936667</v>
      </c>
    </row>
    <row r="32">
      <c r="A32" s="39">
        <v>45671.0</v>
      </c>
      <c r="B32" s="4" t="s">
        <v>62</v>
      </c>
      <c r="C32" s="21">
        <v>1.2</v>
      </c>
      <c r="E32" s="19"/>
      <c r="F32" s="5"/>
      <c r="H32" s="19"/>
      <c r="N32" s="39">
        <v>45688.0</v>
      </c>
      <c r="O32" s="40">
        <f t="shared" si="4"/>
        <v>99.34</v>
      </c>
      <c r="P32" s="5">
        <f t="shared" si="5"/>
        <v>1055.85</v>
      </c>
      <c r="Q32" s="5">
        <f t="shared" si="2"/>
        <v>34.05967742</v>
      </c>
      <c r="R32" s="9">
        <f t="shared" si="3"/>
        <v>1055.85</v>
      </c>
    </row>
    <row r="33">
      <c r="A33" s="39">
        <v>45671.0</v>
      </c>
      <c r="B33" s="4" t="s">
        <v>140</v>
      </c>
      <c r="C33" s="4">
        <v>9.6</v>
      </c>
      <c r="E33" s="19"/>
      <c r="F33" s="5"/>
      <c r="H33" s="19"/>
      <c r="N33" s="39"/>
      <c r="Q33" s="5"/>
      <c r="R33" s="9"/>
    </row>
    <row r="34">
      <c r="A34" s="39">
        <v>45671.0</v>
      </c>
      <c r="B34" s="4" t="s">
        <v>47</v>
      </c>
      <c r="C34" s="21">
        <v>1.52</v>
      </c>
      <c r="E34" s="19"/>
      <c r="F34" s="5"/>
      <c r="H34" s="19"/>
      <c r="Q34" s="5"/>
      <c r="R34" s="9"/>
    </row>
    <row r="35">
      <c r="A35" s="39">
        <v>45672.0</v>
      </c>
      <c r="B35" s="4" t="s">
        <v>57</v>
      </c>
      <c r="C35" s="4">
        <v>3.99</v>
      </c>
      <c r="E35" s="19"/>
      <c r="F35" s="5"/>
      <c r="H35" s="19"/>
      <c r="Q35" s="5"/>
      <c r="R35" s="9"/>
    </row>
    <row r="36">
      <c r="A36" s="39">
        <v>45672.0</v>
      </c>
      <c r="B36" s="4" t="s">
        <v>47</v>
      </c>
      <c r="C36" s="21">
        <v>7.8</v>
      </c>
      <c r="E36" s="19"/>
      <c r="F36" s="5"/>
      <c r="H36" s="19"/>
      <c r="Q36" s="5"/>
      <c r="R36" s="9"/>
    </row>
    <row r="37">
      <c r="A37" s="39">
        <v>45672.0</v>
      </c>
      <c r="B37" s="4" t="s">
        <v>127</v>
      </c>
      <c r="C37" s="21">
        <v>6.8</v>
      </c>
      <c r="E37" s="19"/>
      <c r="F37" s="5"/>
      <c r="H37" s="19"/>
      <c r="Q37" s="5"/>
      <c r="R37" s="9"/>
    </row>
    <row r="38">
      <c r="A38" s="39">
        <v>45673.0</v>
      </c>
      <c r="B38" s="4" t="s">
        <v>140</v>
      </c>
      <c r="C38" s="21">
        <v>8.99</v>
      </c>
      <c r="E38" s="19"/>
      <c r="F38" s="5"/>
      <c r="H38" s="19"/>
      <c r="Q38" s="5"/>
      <c r="R38" s="9"/>
    </row>
    <row r="39">
      <c r="A39" s="39">
        <v>45673.0</v>
      </c>
      <c r="B39" s="4" t="s">
        <v>47</v>
      </c>
      <c r="C39" s="21">
        <v>4.45</v>
      </c>
      <c r="E39" s="19"/>
      <c r="F39" s="5"/>
      <c r="H39" s="19"/>
      <c r="Q39" s="5"/>
      <c r="R39" s="9"/>
    </row>
    <row r="40">
      <c r="A40" s="39">
        <v>45673.0</v>
      </c>
      <c r="B40" s="4" t="s">
        <v>52</v>
      </c>
      <c r="C40" s="21">
        <v>14.44</v>
      </c>
      <c r="E40" s="19"/>
      <c r="F40" s="5"/>
      <c r="H40" s="19"/>
      <c r="Q40" s="5"/>
      <c r="R40" s="9"/>
    </row>
    <row r="41">
      <c r="A41" s="39">
        <v>45674.0</v>
      </c>
      <c r="B41" s="4" t="s">
        <v>209</v>
      </c>
      <c r="C41" s="21">
        <v>6.45</v>
      </c>
      <c r="E41" s="19"/>
      <c r="F41" s="5"/>
      <c r="H41" s="19"/>
      <c r="Q41" s="5"/>
      <c r="R41" s="9"/>
    </row>
    <row r="42">
      <c r="A42" s="39">
        <v>45674.0</v>
      </c>
      <c r="B42" s="4" t="s">
        <v>140</v>
      </c>
      <c r="C42" s="21">
        <v>8.0</v>
      </c>
      <c r="E42" s="19"/>
      <c r="F42" s="5"/>
      <c r="H42" s="19"/>
      <c r="Q42" s="5"/>
      <c r="R42" s="9"/>
    </row>
    <row r="43">
      <c r="A43" s="39">
        <v>45674.0</v>
      </c>
      <c r="B43" s="4" t="s">
        <v>278</v>
      </c>
      <c r="C43" s="21">
        <v>178.0</v>
      </c>
      <c r="E43" s="19"/>
      <c r="F43" s="5"/>
      <c r="H43" s="19"/>
      <c r="Q43" s="5"/>
      <c r="R43" s="9"/>
    </row>
    <row r="44">
      <c r="A44" s="39">
        <v>45674.0</v>
      </c>
      <c r="B44" s="4" t="s">
        <v>57</v>
      </c>
      <c r="C44" s="21">
        <v>7.5</v>
      </c>
      <c r="E44" s="19"/>
      <c r="F44" s="5"/>
      <c r="H44" s="19"/>
      <c r="Q44" s="5"/>
      <c r="R44" s="9"/>
    </row>
    <row r="45">
      <c r="A45" s="39">
        <v>45675.0</v>
      </c>
      <c r="B45" s="4" t="s">
        <v>209</v>
      </c>
      <c r="C45" s="21">
        <v>8.0</v>
      </c>
      <c r="E45" s="19"/>
      <c r="F45" s="5"/>
      <c r="H45" s="19"/>
      <c r="Q45" s="5"/>
      <c r="R45" s="9"/>
    </row>
    <row r="46">
      <c r="A46" s="39">
        <v>45675.0</v>
      </c>
      <c r="B46" s="4" t="s">
        <v>57</v>
      </c>
      <c r="C46" s="21">
        <f>28.65-20+6.67</f>
        <v>15.32</v>
      </c>
      <c r="E46" s="19"/>
      <c r="F46" s="5"/>
      <c r="H46" s="19"/>
      <c r="Q46" s="5"/>
      <c r="R46" s="9"/>
    </row>
    <row r="47">
      <c r="A47" s="39">
        <v>45675.0</v>
      </c>
      <c r="B47" s="4" t="s">
        <v>127</v>
      </c>
      <c r="C47" s="21">
        <v>1.8</v>
      </c>
      <c r="E47" s="19"/>
      <c r="F47" s="5"/>
      <c r="H47" s="19"/>
      <c r="Q47" s="5"/>
      <c r="R47" s="9"/>
    </row>
    <row r="48">
      <c r="A48" s="39">
        <v>45675.0</v>
      </c>
      <c r="B48" s="4" t="s">
        <v>45</v>
      </c>
      <c r="C48" s="21">
        <f>12.8+19.1</f>
        <v>31.9</v>
      </c>
      <c r="E48" s="19"/>
      <c r="F48" s="5"/>
      <c r="H48" s="19"/>
      <c r="Q48" s="5"/>
      <c r="R48" s="9"/>
    </row>
    <row r="49">
      <c r="A49" s="39">
        <v>45675.0</v>
      </c>
      <c r="B49" s="4" t="s">
        <v>57</v>
      </c>
      <c r="C49" s="21">
        <v>30.0</v>
      </c>
      <c r="E49" s="19"/>
      <c r="F49" s="5"/>
      <c r="H49" s="19"/>
      <c r="Q49" s="5"/>
      <c r="R49" s="9"/>
    </row>
    <row r="50">
      <c r="A50" s="39">
        <v>45676.0</v>
      </c>
      <c r="B50" s="4" t="s">
        <v>52</v>
      </c>
      <c r="C50" s="21">
        <v>20.46</v>
      </c>
      <c r="E50" s="19"/>
      <c r="F50" s="5"/>
      <c r="H50" s="19"/>
      <c r="Q50" s="5"/>
      <c r="R50" s="9"/>
    </row>
    <row r="51">
      <c r="A51" s="39">
        <v>45676.0</v>
      </c>
      <c r="B51" s="4" t="s">
        <v>279</v>
      </c>
      <c r="C51" s="21">
        <v>16.99</v>
      </c>
      <c r="E51" s="19"/>
      <c r="F51" s="5"/>
      <c r="H51" s="19"/>
      <c r="Q51" s="5"/>
      <c r="R51" s="9"/>
    </row>
    <row r="52">
      <c r="A52" s="39">
        <v>45676.0</v>
      </c>
      <c r="B52" s="4" t="s">
        <v>255</v>
      </c>
      <c r="C52" s="21">
        <v>15.7</v>
      </c>
      <c r="E52" s="19"/>
      <c r="F52" s="5"/>
      <c r="H52" s="19"/>
      <c r="Q52" s="5"/>
      <c r="R52" s="9"/>
    </row>
    <row r="53">
      <c r="A53" s="39">
        <v>45677.0</v>
      </c>
      <c r="B53" s="4" t="s">
        <v>66</v>
      </c>
      <c r="C53" s="21">
        <v>1.55</v>
      </c>
      <c r="E53" s="19"/>
      <c r="F53" s="5"/>
      <c r="H53" s="19"/>
      <c r="Q53" s="5"/>
      <c r="R53" s="9"/>
    </row>
    <row r="54">
      <c r="A54" s="39">
        <v>45678.0</v>
      </c>
      <c r="B54" s="4" t="s">
        <v>140</v>
      </c>
      <c r="C54" s="21">
        <v>11.55</v>
      </c>
      <c r="E54" s="19"/>
      <c r="F54" s="5"/>
      <c r="H54" s="19"/>
      <c r="Q54" s="5"/>
      <c r="R54" s="9"/>
    </row>
    <row r="55">
      <c r="A55" s="39">
        <v>45678.0</v>
      </c>
      <c r="B55" s="4" t="s">
        <v>76</v>
      </c>
      <c r="C55" s="21">
        <v>3.8</v>
      </c>
      <c r="E55" s="19"/>
      <c r="F55" s="5"/>
      <c r="H55" s="19"/>
      <c r="Q55" s="5"/>
      <c r="R55" s="9"/>
    </row>
    <row r="56">
      <c r="A56" s="39">
        <v>45678.0</v>
      </c>
      <c r="B56" s="4" t="s">
        <v>66</v>
      </c>
      <c r="C56" s="21">
        <v>8.95</v>
      </c>
      <c r="E56" s="19"/>
      <c r="F56" s="5"/>
      <c r="H56" s="19"/>
      <c r="Q56" s="5"/>
      <c r="R56" s="9"/>
    </row>
    <row r="57">
      <c r="A57" s="39">
        <v>45679.0</v>
      </c>
      <c r="B57" s="4" t="s">
        <v>127</v>
      </c>
      <c r="C57" s="21">
        <v>6.8</v>
      </c>
      <c r="E57" s="19"/>
      <c r="F57" s="5"/>
      <c r="H57" s="19"/>
      <c r="Q57" s="5"/>
      <c r="R57" s="9"/>
    </row>
    <row r="58">
      <c r="A58" s="39">
        <v>45679.0</v>
      </c>
      <c r="B58" s="4" t="s">
        <v>47</v>
      </c>
      <c r="C58" s="4">
        <v>17.58</v>
      </c>
      <c r="E58" s="19"/>
      <c r="F58" s="5"/>
      <c r="H58" s="19"/>
      <c r="Q58" s="5"/>
      <c r="R58" s="9"/>
    </row>
    <row r="59">
      <c r="A59" s="39">
        <v>45680.0</v>
      </c>
      <c r="B59" s="4" t="s">
        <v>280</v>
      </c>
      <c r="C59" s="43">
        <f>9.95+1.69</f>
        <v>11.64</v>
      </c>
      <c r="E59" s="19"/>
      <c r="F59" s="5"/>
      <c r="H59" s="19"/>
      <c r="Q59" s="5"/>
      <c r="R59" s="9"/>
    </row>
    <row r="60">
      <c r="A60" s="39">
        <v>45681.0</v>
      </c>
      <c r="B60" s="4" t="s">
        <v>246</v>
      </c>
      <c r="C60" s="21">
        <v>13.3</v>
      </c>
      <c r="E60" s="19"/>
      <c r="F60" s="5"/>
      <c r="H60" s="19"/>
      <c r="Q60" s="5"/>
      <c r="R60" s="9"/>
    </row>
    <row r="61">
      <c r="A61" s="39">
        <v>45681.0</v>
      </c>
      <c r="B61" s="4" t="s">
        <v>281</v>
      </c>
      <c r="C61" s="21">
        <v>18.0</v>
      </c>
      <c r="E61" s="19"/>
      <c r="F61" s="5"/>
      <c r="H61" s="19"/>
      <c r="Q61" s="5"/>
      <c r="R61" s="9"/>
    </row>
    <row r="62">
      <c r="A62" s="39">
        <v>45683.0</v>
      </c>
      <c r="B62" s="4" t="s">
        <v>119</v>
      </c>
      <c r="C62" s="21">
        <v>3.99</v>
      </c>
      <c r="E62" s="19"/>
      <c r="F62" s="5"/>
      <c r="H62" s="19"/>
      <c r="Q62" s="5"/>
      <c r="R62" s="9"/>
    </row>
    <row r="63">
      <c r="A63" s="39">
        <v>45683.0</v>
      </c>
      <c r="B63" s="4" t="s">
        <v>57</v>
      </c>
      <c r="C63" s="21">
        <v>23.7</v>
      </c>
      <c r="E63" s="19"/>
      <c r="F63" s="5"/>
      <c r="H63" s="19"/>
      <c r="Q63" s="5"/>
      <c r="R63" s="9"/>
    </row>
    <row r="64">
      <c r="A64" s="39">
        <v>45685.0</v>
      </c>
      <c r="B64" s="4" t="s">
        <v>76</v>
      </c>
      <c r="C64" s="21">
        <v>2.82</v>
      </c>
      <c r="E64" s="19"/>
      <c r="F64" s="5"/>
      <c r="H64" s="19"/>
      <c r="Q64" s="5"/>
      <c r="R64" s="9"/>
    </row>
    <row r="65">
      <c r="A65" s="39">
        <v>45686.0</v>
      </c>
      <c r="B65" s="4" t="s">
        <v>246</v>
      </c>
      <c r="C65" s="21">
        <v>13.3</v>
      </c>
      <c r="E65" s="19"/>
      <c r="F65" s="5"/>
      <c r="H65" s="19"/>
      <c r="Q65" s="5"/>
      <c r="R65" s="9"/>
    </row>
    <row r="66">
      <c r="A66" s="39">
        <v>45686.0</v>
      </c>
      <c r="B66" s="4" t="s">
        <v>47</v>
      </c>
      <c r="C66" s="21">
        <v>10.97</v>
      </c>
      <c r="E66" s="19"/>
      <c r="F66" s="5"/>
      <c r="H66" s="19"/>
      <c r="Q66" s="5"/>
      <c r="R66" s="9"/>
    </row>
    <row r="67">
      <c r="A67" s="39">
        <v>45687.0</v>
      </c>
      <c r="B67" s="4" t="s">
        <v>76</v>
      </c>
      <c r="C67" s="21">
        <v>3.6</v>
      </c>
      <c r="E67" s="19"/>
      <c r="F67" s="5"/>
      <c r="H67" s="19"/>
      <c r="Q67" s="5"/>
      <c r="R67" s="9"/>
    </row>
    <row r="68">
      <c r="A68" s="39">
        <v>45687.0</v>
      </c>
      <c r="B68" s="4" t="s">
        <v>140</v>
      </c>
      <c r="C68" s="21">
        <v>10.9</v>
      </c>
      <c r="E68" s="19"/>
      <c r="F68" s="5"/>
      <c r="H68" s="19"/>
      <c r="Q68" s="5"/>
      <c r="R68" s="9"/>
    </row>
    <row r="69">
      <c r="A69" s="39">
        <v>45687.0</v>
      </c>
      <c r="B69" s="4" t="s">
        <v>66</v>
      </c>
      <c r="C69" s="21">
        <v>4.25</v>
      </c>
      <c r="E69" s="19"/>
      <c r="F69" s="5"/>
      <c r="H69" s="19"/>
      <c r="Q69" s="5"/>
      <c r="R69" s="9"/>
    </row>
    <row r="70">
      <c r="A70" s="39">
        <v>45687.0</v>
      </c>
      <c r="B70" s="4" t="s">
        <v>230</v>
      </c>
      <c r="C70" s="21">
        <v>16.75</v>
      </c>
      <c r="E70" s="19"/>
      <c r="F70" s="5"/>
      <c r="H70" s="19"/>
      <c r="Q70" s="5"/>
      <c r="R70" s="9"/>
    </row>
    <row r="71">
      <c r="A71" s="39">
        <v>45688.0</v>
      </c>
      <c r="B71" s="4" t="s">
        <v>66</v>
      </c>
      <c r="C71" s="21">
        <v>0.8</v>
      </c>
      <c r="E71" s="19"/>
      <c r="F71" s="5"/>
      <c r="H71" s="19"/>
      <c r="Q71" s="5"/>
      <c r="R71" s="9"/>
    </row>
    <row r="72">
      <c r="A72" s="39">
        <v>45688.0</v>
      </c>
      <c r="B72" s="4" t="s">
        <v>282</v>
      </c>
      <c r="C72" s="21">
        <v>6.8</v>
      </c>
      <c r="E72" s="19"/>
      <c r="F72" s="5"/>
      <c r="H72" s="19"/>
      <c r="Q72" s="5"/>
      <c r="R72" s="9"/>
    </row>
    <row r="73">
      <c r="A73" s="39">
        <v>45688.0</v>
      </c>
      <c r="B73" s="4" t="s">
        <v>45</v>
      </c>
      <c r="C73" s="21">
        <f>7.45+14.35+14.5+4.98</f>
        <v>41.28</v>
      </c>
      <c r="E73" s="19"/>
      <c r="F73" s="5"/>
      <c r="H73" s="19"/>
      <c r="Q73" s="5"/>
      <c r="R73" s="9"/>
    </row>
    <row r="74">
      <c r="A74" s="39">
        <v>45688.0</v>
      </c>
      <c r="B74" s="4" t="s">
        <v>54</v>
      </c>
      <c r="C74" s="21">
        <v>50.46</v>
      </c>
      <c r="E74" s="19"/>
      <c r="F74" s="5"/>
      <c r="H74" s="19"/>
      <c r="Q74" s="5"/>
      <c r="R74" s="9"/>
    </row>
    <row r="75">
      <c r="A75" s="39"/>
      <c r="C75" s="21"/>
      <c r="E75" s="19"/>
      <c r="F75" s="5"/>
      <c r="H75" s="19"/>
      <c r="Q75" s="5"/>
      <c r="R75" s="9"/>
    </row>
    <row r="76">
      <c r="A76" s="39"/>
      <c r="C76" s="21"/>
      <c r="E76" s="19"/>
      <c r="F76" s="5"/>
      <c r="H76" s="19"/>
      <c r="Q76" s="5"/>
      <c r="R76" s="9"/>
    </row>
    <row r="77">
      <c r="A77" s="39"/>
      <c r="C77" s="21"/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V2">
    <cfRule type="cellIs" dxfId="2" priority="1" operator="greaterThan">
      <formula>0</formula>
    </cfRule>
  </conditionalFormatting>
  <conditionalFormatting sqref="V2">
    <cfRule type="cellIs" dxfId="3" priority="2" operator="lessThan">
      <formula>0</formula>
    </cfRule>
  </conditionalFormatting>
  <conditionalFormatting sqref="N1:N33">
    <cfRule type="timePeriod" dxfId="4" priority="3" timePeriod="today"/>
  </conditionalFormatting>
  <conditionalFormatting sqref="N1 N33:N999">
    <cfRule type="timePeriod" dxfId="5" priority="4" timePeriod="today"/>
  </conditionalFormatting>
  <conditionalFormatting sqref="O1:O999 Q1:Q999">
    <cfRule type="cellIs" dxfId="0" priority="5" operator="lessThan">
      <formula>25</formula>
    </cfRule>
  </conditionalFormatting>
  <conditionalFormatting sqref="O1:O999 Q1:Q999">
    <cfRule type="cellIs" dxfId="6" priority="6" operator="lessThan">
      <formula>35</formula>
    </cfRule>
  </conditionalFormatting>
  <conditionalFormatting sqref="O1:O999 Q1:Q999">
    <cfRule type="cellIs" dxfId="1" priority="7" operator="greaterThanOrEqual">
      <formula>35</formula>
    </cfRule>
  </conditionalFormatting>
  <conditionalFormatting sqref="I1">
    <cfRule type="cellIs" dxfId="1" priority="8" operator="lessThan">
      <formula>0</formula>
    </cfRule>
  </conditionalFormatting>
  <conditionalFormatting sqref="I1">
    <cfRule type="cellIs" dxfId="0" priority="9" operator="greaterThan">
      <formula>0</formula>
    </cfRule>
  </conditionalFormatting>
  <conditionalFormatting sqref="A1">
    <cfRule type="notContainsBlanks" dxfId="0" priority="10">
      <formula>LEN(TRIM(A1))&gt;0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139.86</v>
      </c>
      <c r="H1" s="1" t="s">
        <v>46</v>
      </c>
      <c r="I1" s="5">
        <f>I6-I7</f>
        <v>10.48</v>
      </c>
      <c r="J1" s="9" t="str">
        <f>I1/COUNTIF(N:N, "&gt;=" &amp; TODAY())</f>
        <v>#DIV/0!</v>
      </c>
      <c r="K1" s="1" t="s">
        <v>47</v>
      </c>
      <c r="L1" s="5">
        <f t="shared" ref="L1:L5" si="1">SUMIF(B:B,K1,C:I)</f>
        <v>77.95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" t="s">
        <v>233</v>
      </c>
      <c r="U1" s="1" t="s">
        <v>234</v>
      </c>
      <c r="V1" s="1" t="s">
        <v>235</v>
      </c>
      <c r="W1" s="19"/>
      <c r="X1" s="19"/>
      <c r="Y1" s="19"/>
      <c r="Z1" s="19"/>
    </row>
    <row r="2">
      <c r="A2" s="39">
        <v>45627.0</v>
      </c>
      <c r="B2" s="4" t="s">
        <v>8</v>
      </c>
      <c r="C2" s="21">
        <v>2000.0</v>
      </c>
      <c r="E2" s="1" t="s">
        <v>52</v>
      </c>
      <c r="F2" s="5">
        <f>SUMIF(B:B,"Deliveroo",C:C)+SUMIF(B:B,"Just eat",C:C)+SUMIF(B:B,"Uber eats",C:C)+SUMIF(B:B,E2,C:C)</f>
        <v>36.73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43.73</v>
      </c>
      <c r="N2" s="39">
        <v>45627.0</v>
      </c>
      <c r="O2" s="5">
        <f>sumif(A:A,N2,C:C)-sum(C2:C7)</f>
        <v>205.35</v>
      </c>
      <c r="P2" s="5">
        <f>SUM(O2)</f>
        <v>205.35</v>
      </c>
      <c r="Q2" s="5">
        <f t="shared" ref="Q2:Q32" si="2">P2/(ROW()-1)</f>
        <v>205.35</v>
      </c>
      <c r="R2" s="9">
        <f t="shared" ref="R2:R32" si="3">count(N:N)*Q2</f>
        <v>6365.85</v>
      </c>
      <c r="T2" s="9" t="str">
        <f>IFERROR(__xludf.DUMMYFUNCTION("(I1+(FILTER(O:O,N:N=TODAY()-1)))/(COUNTIF(N:N, ""&gt;="" &amp; TODAY())+1)"),"#N/A")</f>
        <v>#N/A</v>
      </c>
      <c r="U2" s="9" t="str">
        <f>I1/COUNTIF(N:N, "&gt;=" &amp; TODAY())</f>
        <v>#DIV/0!</v>
      </c>
      <c r="V2" s="40" t="str">
        <f>U2-T2</f>
        <v>#DIV/0!</v>
      </c>
    </row>
    <row r="3">
      <c r="A3" s="39">
        <v>45627.0</v>
      </c>
      <c r="B3" s="4" t="s">
        <v>54</v>
      </c>
      <c r="C3" s="41">
        <f>1105</f>
        <v>1105</v>
      </c>
      <c r="E3" s="1" t="s">
        <v>209</v>
      </c>
      <c r="F3" s="5">
        <f>SUMIF(B:B,"Pret",C:C)+SUMIF(B:B,"Breakfast",C:C)</f>
        <v>2.4</v>
      </c>
      <c r="H3" s="1" t="s">
        <v>8</v>
      </c>
      <c r="I3" s="5">
        <f>SUMIF(B:B,H3,C:C)+I1</f>
        <v>2010.48</v>
      </c>
      <c r="K3" s="1" t="s">
        <v>56</v>
      </c>
      <c r="L3" s="5">
        <f t="shared" si="1"/>
        <v>0</v>
      </c>
      <c r="N3" s="39">
        <v>45628.0</v>
      </c>
      <c r="O3" s="40">
        <f t="shared" ref="O3:O32" si="4">sumif(A:A,N3,C:C)</f>
        <v>10</v>
      </c>
      <c r="P3" s="5">
        <f t="shared" ref="P3:P32" si="5">P2+O3</f>
        <v>215.35</v>
      </c>
      <c r="Q3" s="5">
        <f t="shared" si="2"/>
        <v>107.675</v>
      </c>
      <c r="R3" s="9">
        <f t="shared" si="3"/>
        <v>3337.925</v>
      </c>
    </row>
    <row r="4">
      <c r="A4" s="39">
        <v>45627.0</v>
      </c>
      <c r="B4" s="4" t="s">
        <v>6</v>
      </c>
      <c r="C4" s="21">
        <v>250.0</v>
      </c>
      <c r="E4" s="1" t="s">
        <v>140</v>
      </c>
      <c r="F4" s="5">
        <f t="shared" ref="F4:F5" si="6">SUMIF(B:B,E4,C:C)</f>
        <v>69.84</v>
      </c>
      <c r="H4" s="1" t="s">
        <v>58</v>
      </c>
      <c r="I4" s="5">
        <f>I2+I3</f>
        <v>2260.48</v>
      </c>
      <c r="K4" s="1" t="s">
        <v>59</v>
      </c>
      <c r="L4" s="5">
        <f t="shared" si="1"/>
        <v>56.98</v>
      </c>
      <c r="N4" s="39">
        <v>45629.0</v>
      </c>
      <c r="O4" s="40">
        <f t="shared" si="4"/>
        <v>28.41</v>
      </c>
      <c r="P4" s="5">
        <f t="shared" si="5"/>
        <v>243.76</v>
      </c>
      <c r="Q4" s="5">
        <f t="shared" si="2"/>
        <v>81.25333333</v>
      </c>
      <c r="R4" s="9">
        <f t="shared" si="3"/>
        <v>2518.853333</v>
      </c>
    </row>
    <row r="5">
      <c r="A5" s="39">
        <v>45627.0</v>
      </c>
      <c r="B5" s="4" t="s">
        <v>252</v>
      </c>
      <c r="C5" s="21">
        <v>9.0</v>
      </c>
      <c r="E5" s="1" t="s">
        <v>210</v>
      </c>
      <c r="F5" s="5">
        <f t="shared" si="6"/>
        <v>0</v>
      </c>
      <c r="K5" s="1" t="s">
        <v>62</v>
      </c>
      <c r="L5" s="5">
        <f t="shared" si="1"/>
        <v>19.62</v>
      </c>
      <c r="N5" s="39">
        <v>45630.0</v>
      </c>
      <c r="O5" s="40">
        <f t="shared" si="4"/>
        <v>10.82</v>
      </c>
      <c r="P5" s="5">
        <f t="shared" si="5"/>
        <v>254.58</v>
      </c>
      <c r="Q5" s="5">
        <f t="shared" si="2"/>
        <v>63.645</v>
      </c>
      <c r="R5" s="9">
        <f t="shared" si="3"/>
        <v>1972.995</v>
      </c>
    </row>
    <row r="6">
      <c r="A6" s="39">
        <v>45627.0</v>
      </c>
      <c r="B6" s="4" t="s">
        <v>254</v>
      </c>
      <c r="C6" s="21">
        <f>99/12</f>
        <v>8.25</v>
      </c>
      <c r="E6" s="1" t="s">
        <v>57</v>
      </c>
      <c r="F6" s="5">
        <f>sum(L:L)+sumif(B:B,"Groceries",C:C)</f>
        <v>214.31</v>
      </c>
      <c r="H6" s="1" t="s">
        <v>65</v>
      </c>
      <c r="I6" s="21">
        <v>5172.63</v>
      </c>
      <c r="N6" s="39">
        <v>45631.0</v>
      </c>
      <c r="O6" s="40">
        <f t="shared" si="4"/>
        <v>26.8</v>
      </c>
      <c r="P6" s="5">
        <f t="shared" si="5"/>
        <v>281.38</v>
      </c>
      <c r="Q6" s="5">
        <f t="shared" si="2"/>
        <v>56.276</v>
      </c>
      <c r="R6" s="9">
        <f t="shared" si="3"/>
        <v>1744.556</v>
      </c>
    </row>
    <row r="7">
      <c r="A7" s="39">
        <v>45627.0</v>
      </c>
      <c r="B7" s="4" t="s">
        <v>283</v>
      </c>
      <c r="C7" s="21">
        <v>257.28</v>
      </c>
      <c r="E7" s="42" t="s">
        <v>61</v>
      </c>
      <c r="F7" s="5">
        <f>SUMIF(B:B,"Games",C:C)+SUMIF(B:B,"Spotify",C:C)+SUMIF(B:B,"Streaming",C:C)+SUMIF(B:B,"Book",C:C)+SUMIF(B:B,"Audible",C:C)+SUMIF(B:B,"Cinema",C:C)+SUMIF(B:B,"Theatre",C:C)</f>
        <v>33.32</v>
      </c>
      <c r="H7" s="1" t="s">
        <v>68</v>
      </c>
      <c r="I7" s="5">
        <f>sum(C:C)</f>
        <v>5162.15</v>
      </c>
      <c r="N7" s="39">
        <v>45632.0</v>
      </c>
      <c r="O7" s="40">
        <f t="shared" si="4"/>
        <v>106.27</v>
      </c>
      <c r="P7" s="5">
        <f t="shared" si="5"/>
        <v>387.65</v>
      </c>
      <c r="Q7" s="5">
        <f t="shared" si="2"/>
        <v>64.60833333</v>
      </c>
      <c r="R7" s="9">
        <f t="shared" si="3"/>
        <v>2002.858333</v>
      </c>
    </row>
    <row r="8">
      <c r="A8" s="39">
        <v>45627.0</v>
      </c>
      <c r="B8" s="4" t="s">
        <v>259</v>
      </c>
      <c r="C8" s="40">
        <f>88.5/3</f>
        <v>29.5</v>
      </c>
      <c r="E8" s="1" t="s">
        <v>64</v>
      </c>
      <c r="F8" s="5">
        <f>SUMIF(B:B,E8,C:C)+SUMIF(B:B,"Shoes",C:C)</f>
        <v>231.9</v>
      </c>
      <c r="H8" s="1" t="s">
        <v>72</v>
      </c>
      <c r="I8" s="5">
        <f>sum(F:F)+I2+C2</f>
        <v>4593.41</v>
      </c>
      <c r="N8" s="39">
        <v>45633.0</v>
      </c>
      <c r="O8" s="40">
        <f t="shared" si="4"/>
        <v>42.42</v>
      </c>
      <c r="P8" s="5">
        <f t="shared" si="5"/>
        <v>430.07</v>
      </c>
      <c r="Q8" s="5">
        <f t="shared" si="2"/>
        <v>61.43857143</v>
      </c>
      <c r="R8" s="9">
        <f t="shared" si="3"/>
        <v>1904.595714</v>
      </c>
    </row>
    <row r="9">
      <c r="A9" s="39">
        <v>45627.0</v>
      </c>
      <c r="B9" s="4" t="s">
        <v>284</v>
      </c>
      <c r="C9" s="4">
        <v>55.44</v>
      </c>
      <c r="E9" s="1" t="s">
        <v>54</v>
      </c>
      <c r="F9" s="5">
        <f>SUMIF(B:B,E9,C:C)+SUMIF(B:B,"Phone",C:C)</f>
        <v>1114</v>
      </c>
      <c r="H9" s="1" t="s">
        <v>74</v>
      </c>
      <c r="I9" s="5">
        <f>I7-I8</f>
        <v>568.74</v>
      </c>
      <c r="N9" s="39">
        <v>45634.0</v>
      </c>
      <c r="O9" s="40">
        <f t="shared" si="4"/>
        <v>21.27</v>
      </c>
      <c r="P9" s="5">
        <f t="shared" si="5"/>
        <v>451.34</v>
      </c>
      <c r="Q9" s="5">
        <f t="shared" si="2"/>
        <v>56.4175</v>
      </c>
      <c r="R9" s="9">
        <f t="shared" si="3"/>
        <v>1748.9425</v>
      </c>
    </row>
    <row r="10">
      <c r="A10" s="39">
        <v>45627.0</v>
      </c>
      <c r="B10" s="4" t="s">
        <v>271</v>
      </c>
      <c r="C10" s="21">
        <v>34.35</v>
      </c>
      <c r="E10" s="1" t="s">
        <v>127</v>
      </c>
      <c r="F10" s="5">
        <f>SUMIF(B:B,E10,C:C)</f>
        <v>41.3</v>
      </c>
      <c r="N10" s="39">
        <v>45635.0</v>
      </c>
      <c r="O10" s="40">
        <f t="shared" si="4"/>
        <v>35.51</v>
      </c>
      <c r="P10" s="5">
        <f t="shared" si="5"/>
        <v>486.85</v>
      </c>
      <c r="Q10" s="5">
        <f t="shared" si="2"/>
        <v>54.09444444</v>
      </c>
      <c r="R10" s="9">
        <f t="shared" si="3"/>
        <v>1676.927778</v>
      </c>
    </row>
    <row r="11">
      <c r="A11" s="39">
        <v>45627.0</v>
      </c>
      <c r="B11" s="4" t="s">
        <v>209</v>
      </c>
      <c r="C11" s="4">
        <v>2.4</v>
      </c>
      <c r="E11" s="1" t="s">
        <v>73</v>
      </c>
      <c r="F11" s="5">
        <f>SUMIF(B:B,"Uber",C:C)</f>
        <v>39.08</v>
      </c>
      <c r="H11" s="1" t="s">
        <v>3</v>
      </c>
      <c r="I11" s="28">
        <f>I4/I6</f>
        <v>0.4370078664</v>
      </c>
      <c r="N11" s="39">
        <v>45636.0</v>
      </c>
      <c r="O11" s="40">
        <f t="shared" si="4"/>
        <v>7.95</v>
      </c>
      <c r="P11" s="5">
        <f t="shared" si="5"/>
        <v>494.8</v>
      </c>
      <c r="Q11" s="5">
        <f t="shared" si="2"/>
        <v>49.48</v>
      </c>
      <c r="R11" s="9">
        <f t="shared" si="3"/>
        <v>1533.88</v>
      </c>
    </row>
    <row r="12">
      <c r="A12" s="39">
        <v>45627.0</v>
      </c>
      <c r="B12" s="4" t="s">
        <v>73</v>
      </c>
      <c r="C12" s="21">
        <v>7.91</v>
      </c>
      <c r="E12" s="1" t="s">
        <v>75</v>
      </c>
      <c r="F12" s="9">
        <f>SUMIF(B:B,"Gym",C:C)+SUMIF(B:B,"Climbing",C:C)+SUMIF(B:B,"Tennis",C:C)</f>
        <v>34.35</v>
      </c>
      <c r="N12" s="39">
        <v>45637.0</v>
      </c>
      <c r="O12" s="40">
        <f t="shared" si="4"/>
        <v>32.56</v>
      </c>
      <c r="P12" s="5">
        <f t="shared" si="5"/>
        <v>527.36</v>
      </c>
      <c r="Q12" s="5">
        <f t="shared" si="2"/>
        <v>47.94181818</v>
      </c>
      <c r="R12" s="9">
        <f t="shared" si="3"/>
        <v>1486.196364</v>
      </c>
    </row>
    <row r="13">
      <c r="A13" s="39">
        <v>45627.0</v>
      </c>
      <c r="B13" s="4" t="s">
        <v>47</v>
      </c>
      <c r="C13" s="21">
        <v>5.75</v>
      </c>
      <c r="E13" s="1" t="s">
        <v>76</v>
      </c>
      <c r="F13" s="5">
        <f>SUMIF(B:B,"Coffee",C:C)</f>
        <v>3.6</v>
      </c>
      <c r="N13" s="39">
        <v>45638.0</v>
      </c>
      <c r="O13" s="40">
        <f t="shared" si="4"/>
        <v>2.5</v>
      </c>
      <c r="P13" s="5">
        <f t="shared" si="5"/>
        <v>529.86</v>
      </c>
      <c r="Q13" s="5">
        <f t="shared" si="2"/>
        <v>44.155</v>
      </c>
      <c r="R13" s="9">
        <f t="shared" si="3"/>
        <v>1368.805</v>
      </c>
    </row>
    <row r="14">
      <c r="A14" s="39">
        <v>45627.0</v>
      </c>
      <c r="B14" s="4" t="s">
        <v>285</v>
      </c>
      <c r="C14" s="21">
        <v>70.0</v>
      </c>
      <c r="E14" s="1" t="s">
        <v>77</v>
      </c>
      <c r="F14" s="5">
        <f>C7+C9+C14</f>
        <v>382.72</v>
      </c>
      <c r="H14" s="19"/>
      <c r="N14" s="39">
        <v>45639.0</v>
      </c>
      <c r="O14" s="40">
        <f t="shared" si="4"/>
        <v>16.03</v>
      </c>
      <c r="P14" s="5">
        <f t="shared" si="5"/>
        <v>545.89</v>
      </c>
      <c r="Q14" s="5">
        <f t="shared" si="2"/>
        <v>41.99153846</v>
      </c>
      <c r="R14" s="9">
        <f t="shared" si="3"/>
        <v>1301.737692</v>
      </c>
    </row>
    <row r="15">
      <c r="A15" s="39">
        <v>45628.0</v>
      </c>
      <c r="B15" s="4" t="s">
        <v>286</v>
      </c>
      <c r="C15" s="21">
        <v>10.0</v>
      </c>
      <c r="E15" s="1"/>
      <c r="H15" s="1" t="s">
        <v>55</v>
      </c>
      <c r="I15" s="5">
        <f>sum(F2:F5)+F13</f>
        <v>112.57</v>
      </c>
      <c r="N15" s="39">
        <v>45640.0</v>
      </c>
      <c r="O15" s="40">
        <f t="shared" si="4"/>
        <v>26.12</v>
      </c>
      <c r="P15" s="5">
        <f t="shared" si="5"/>
        <v>572.01</v>
      </c>
      <c r="Q15" s="5">
        <f t="shared" si="2"/>
        <v>40.85785714</v>
      </c>
      <c r="R15" s="9">
        <f t="shared" si="3"/>
        <v>1266.593571</v>
      </c>
    </row>
    <row r="16">
      <c r="A16" s="39">
        <v>45629.0</v>
      </c>
      <c r="B16" s="4" t="s">
        <v>59</v>
      </c>
      <c r="C16" s="21">
        <v>26.61</v>
      </c>
      <c r="H16" s="19"/>
      <c r="N16" s="39">
        <v>45641.0</v>
      </c>
      <c r="O16" s="40">
        <f t="shared" si="4"/>
        <v>34.4</v>
      </c>
      <c r="P16" s="5">
        <f t="shared" si="5"/>
        <v>606.41</v>
      </c>
      <c r="Q16" s="5">
        <f t="shared" si="2"/>
        <v>40.42733333</v>
      </c>
      <c r="R16" s="9">
        <f t="shared" si="3"/>
        <v>1253.247333</v>
      </c>
    </row>
    <row r="17">
      <c r="A17" s="39">
        <v>45629.0</v>
      </c>
      <c r="B17" s="4" t="s">
        <v>127</v>
      </c>
      <c r="C17" s="21">
        <v>1.8</v>
      </c>
      <c r="H17" s="19"/>
      <c r="N17" s="39">
        <v>45642.0</v>
      </c>
      <c r="O17" s="40">
        <f t="shared" si="4"/>
        <v>13.93</v>
      </c>
      <c r="P17" s="5">
        <f t="shared" si="5"/>
        <v>620.34</v>
      </c>
      <c r="Q17" s="5">
        <f t="shared" si="2"/>
        <v>38.77125</v>
      </c>
      <c r="R17" s="9">
        <f t="shared" si="3"/>
        <v>1201.90875</v>
      </c>
    </row>
    <row r="18">
      <c r="A18" s="39">
        <v>45630.0</v>
      </c>
      <c r="B18" s="4" t="s">
        <v>47</v>
      </c>
      <c r="C18" s="21">
        <v>2.4</v>
      </c>
      <c r="H18" s="19"/>
      <c r="N18" s="39">
        <v>45643.0</v>
      </c>
      <c r="O18" s="40">
        <f t="shared" si="4"/>
        <v>22.45</v>
      </c>
      <c r="P18" s="5">
        <f t="shared" si="5"/>
        <v>642.79</v>
      </c>
      <c r="Q18" s="5">
        <f t="shared" si="2"/>
        <v>37.81117647</v>
      </c>
      <c r="R18" s="9">
        <f t="shared" si="3"/>
        <v>1172.146471</v>
      </c>
    </row>
    <row r="19">
      <c r="A19" s="39">
        <v>45630.0</v>
      </c>
      <c r="B19" s="4" t="s">
        <v>62</v>
      </c>
      <c r="C19" s="21">
        <v>8.42</v>
      </c>
      <c r="H19" s="19"/>
      <c r="N19" s="39">
        <v>45644.0</v>
      </c>
      <c r="O19" s="40">
        <f t="shared" si="4"/>
        <v>30.24</v>
      </c>
      <c r="P19" s="5">
        <f t="shared" si="5"/>
        <v>673.03</v>
      </c>
      <c r="Q19" s="5">
        <f t="shared" si="2"/>
        <v>37.39055556</v>
      </c>
      <c r="R19" s="9">
        <f t="shared" si="3"/>
        <v>1159.107222</v>
      </c>
    </row>
    <row r="20">
      <c r="A20" s="39">
        <v>45631.0</v>
      </c>
      <c r="B20" s="4" t="s">
        <v>140</v>
      </c>
      <c r="C20" s="21">
        <v>24.0</v>
      </c>
      <c r="H20" s="19"/>
      <c r="N20" s="39">
        <v>45645.0</v>
      </c>
      <c r="O20" s="40">
        <f t="shared" si="4"/>
        <v>44.44</v>
      </c>
      <c r="P20" s="5">
        <f t="shared" si="5"/>
        <v>717.47</v>
      </c>
      <c r="Q20" s="5">
        <f t="shared" si="2"/>
        <v>37.76157895</v>
      </c>
      <c r="R20" s="9">
        <f t="shared" si="3"/>
        <v>1170.608947</v>
      </c>
    </row>
    <row r="21">
      <c r="A21" s="39">
        <v>45631.0</v>
      </c>
      <c r="B21" s="4" t="s">
        <v>62</v>
      </c>
      <c r="C21" s="21">
        <v>0.8</v>
      </c>
      <c r="E21" s="19"/>
      <c r="F21" s="5"/>
      <c r="H21" s="19"/>
      <c r="N21" s="39">
        <v>45646.0</v>
      </c>
      <c r="O21" s="40">
        <f t="shared" si="4"/>
        <v>115.46</v>
      </c>
      <c r="P21" s="5">
        <f t="shared" si="5"/>
        <v>832.93</v>
      </c>
      <c r="Q21" s="5">
        <f t="shared" si="2"/>
        <v>41.6465</v>
      </c>
      <c r="R21" s="9">
        <f t="shared" si="3"/>
        <v>1291.0415</v>
      </c>
    </row>
    <row r="22">
      <c r="A22" s="39">
        <v>45631.0</v>
      </c>
      <c r="B22" s="4" t="s">
        <v>287</v>
      </c>
      <c r="C22" s="21">
        <v>2.0</v>
      </c>
      <c r="E22" s="19"/>
      <c r="F22" s="5"/>
      <c r="H22" s="19"/>
      <c r="N22" s="39">
        <v>45647.0</v>
      </c>
      <c r="O22" s="40">
        <f t="shared" si="4"/>
        <v>101.85</v>
      </c>
      <c r="P22" s="5">
        <f t="shared" si="5"/>
        <v>934.78</v>
      </c>
      <c r="Q22" s="5">
        <f t="shared" si="2"/>
        <v>44.51333333</v>
      </c>
      <c r="R22" s="9">
        <f t="shared" si="3"/>
        <v>1379.913333</v>
      </c>
    </row>
    <row r="23">
      <c r="A23" s="39">
        <v>45632.0</v>
      </c>
      <c r="B23" s="4" t="s">
        <v>230</v>
      </c>
      <c r="C23" s="4">
        <f>25.07</f>
        <v>25.07</v>
      </c>
      <c r="E23" s="19"/>
      <c r="F23" s="5"/>
      <c r="H23" s="19"/>
      <c r="N23" s="39">
        <v>45648.0</v>
      </c>
      <c r="O23" s="40">
        <f t="shared" si="4"/>
        <v>11.67</v>
      </c>
      <c r="P23" s="5">
        <f t="shared" si="5"/>
        <v>946.45</v>
      </c>
      <c r="Q23" s="5">
        <f t="shared" si="2"/>
        <v>43.02045455</v>
      </c>
      <c r="R23" s="9">
        <f t="shared" si="3"/>
        <v>1333.634091</v>
      </c>
    </row>
    <row r="24">
      <c r="A24" s="39">
        <v>45632.0</v>
      </c>
      <c r="B24" s="4" t="s">
        <v>131</v>
      </c>
      <c r="C24" s="40">
        <f>23.93</f>
        <v>23.93</v>
      </c>
      <c r="E24" s="19"/>
      <c r="F24" s="5"/>
      <c r="H24" s="19"/>
      <c r="N24" s="39">
        <v>45649.0</v>
      </c>
      <c r="O24" s="40">
        <f t="shared" si="4"/>
        <v>12.25</v>
      </c>
      <c r="P24" s="5">
        <f t="shared" si="5"/>
        <v>958.7</v>
      </c>
      <c r="Q24" s="5">
        <f t="shared" si="2"/>
        <v>41.6826087</v>
      </c>
      <c r="R24" s="9">
        <f t="shared" si="3"/>
        <v>1292.16087</v>
      </c>
    </row>
    <row r="25">
      <c r="A25" s="39">
        <v>45632.0</v>
      </c>
      <c r="B25" s="4" t="s">
        <v>112</v>
      </c>
      <c r="C25" s="4">
        <v>18.92</v>
      </c>
      <c r="E25" s="19"/>
      <c r="F25" s="5"/>
      <c r="H25" s="19"/>
      <c r="N25" s="39">
        <v>45650.0</v>
      </c>
      <c r="O25" s="40">
        <f t="shared" si="4"/>
        <v>73.6</v>
      </c>
      <c r="P25" s="5">
        <f t="shared" si="5"/>
        <v>1032.3</v>
      </c>
      <c r="Q25" s="5">
        <f t="shared" si="2"/>
        <v>43.0125</v>
      </c>
      <c r="R25" s="9">
        <f t="shared" si="3"/>
        <v>1333.3875</v>
      </c>
    </row>
    <row r="26">
      <c r="A26" s="39">
        <v>45632.0</v>
      </c>
      <c r="B26" s="4" t="s">
        <v>47</v>
      </c>
      <c r="C26" s="21">
        <v>5.65</v>
      </c>
      <c r="E26" s="19"/>
      <c r="F26" s="5"/>
      <c r="H26" s="19"/>
      <c r="N26" s="39">
        <v>45651.0</v>
      </c>
      <c r="O26" s="40">
        <f t="shared" si="4"/>
        <v>14.46</v>
      </c>
      <c r="P26" s="5">
        <f t="shared" si="5"/>
        <v>1046.76</v>
      </c>
      <c r="Q26" s="5">
        <f t="shared" si="2"/>
        <v>41.8704</v>
      </c>
      <c r="R26" s="9">
        <f t="shared" si="3"/>
        <v>1297.9824</v>
      </c>
    </row>
    <row r="27">
      <c r="A27" s="39">
        <v>45632.0</v>
      </c>
      <c r="B27" s="4" t="s">
        <v>127</v>
      </c>
      <c r="C27" s="21">
        <v>8.5</v>
      </c>
      <c r="E27" s="19"/>
      <c r="F27" s="5"/>
      <c r="H27" s="19"/>
      <c r="N27" s="39">
        <v>45652.0</v>
      </c>
      <c r="O27" s="40">
        <f t="shared" si="4"/>
        <v>244.93</v>
      </c>
      <c r="P27" s="5">
        <f t="shared" si="5"/>
        <v>1291.69</v>
      </c>
      <c r="Q27" s="5">
        <f t="shared" si="2"/>
        <v>49.68038462</v>
      </c>
      <c r="R27" s="9">
        <f t="shared" si="3"/>
        <v>1540.091923</v>
      </c>
    </row>
    <row r="28">
      <c r="A28" s="39">
        <v>45632.0</v>
      </c>
      <c r="B28" s="4" t="s">
        <v>62</v>
      </c>
      <c r="C28" s="21">
        <v>2.2</v>
      </c>
      <c r="E28" s="19"/>
      <c r="F28" s="5"/>
      <c r="H28" s="19"/>
      <c r="N28" s="39">
        <v>45653.0</v>
      </c>
      <c r="O28" s="40">
        <f t="shared" si="4"/>
        <v>20.93</v>
      </c>
      <c r="P28" s="5">
        <f t="shared" si="5"/>
        <v>1312.62</v>
      </c>
      <c r="Q28" s="5">
        <f t="shared" si="2"/>
        <v>48.61555556</v>
      </c>
      <c r="R28" s="9">
        <f t="shared" si="3"/>
        <v>1507.082222</v>
      </c>
    </row>
    <row r="29">
      <c r="A29" s="39">
        <v>45632.0</v>
      </c>
      <c r="B29" s="4" t="s">
        <v>45</v>
      </c>
      <c r="C29" s="21">
        <v>22.0</v>
      </c>
      <c r="E29" s="19"/>
      <c r="F29" s="5"/>
      <c r="H29" s="19"/>
      <c r="N29" s="39">
        <v>45654.0</v>
      </c>
      <c r="O29" s="40">
        <f t="shared" si="4"/>
        <v>220</v>
      </c>
      <c r="P29" s="5">
        <f t="shared" si="5"/>
        <v>1532.62</v>
      </c>
      <c r="Q29" s="5">
        <f t="shared" si="2"/>
        <v>54.73642857</v>
      </c>
      <c r="R29" s="9">
        <f t="shared" si="3"/>
        <v>1696.829286</v>
      </c>
    </row>
    <row r="30">
      <c r="A30" s="39">
        <v>45633.0</v>
      </c>
      <c r="B30" s="4" t="s">
        <v>127</v>
      </c>
      <c r="C30" s="21">
        <v>5.6</v>
      </c>
      <c r="E30" s="19"/>
      <c r="F30" s="5"/>
      <c r="H30" s="19"/>
      <c r="N30" s="39">
        <v>45655.0</v>
      </c>
      <c r="O30" s="40">
        <f t="shared" si="4"/>
        <v>0</v>
      </c>
      <c r="P30" s="5">
        <f t="shared" si="5"/>
        <v>1532.62</v>
      </c>
      <c r="Q30" s="5">
        <f t="shared" si="2"/>
        <v>52.84896552</v>
      </c>
      <c r="R30" s="9">
        <f t="shared" si="3"/>
        <v>1638.317931</v>
      </c>
    </row>
    <row r="31">
      <c r="A31" s="39">
        <v>45633.0</v>
      </c>
      <c r="B31" s="4" t="s">
        <v>52</v>
      </c>
      <c r="C31" s="21">
        <v>19.27</v>
      </c>
      <c r="E31" s="19"/>
      <c r="F31" s="5"/>
      <c r="H31" s="19"/>
      <c r="N31" s="39">
        <v>45656.0</v>
      </c>
      <c r="O31" s="40">
        <f t="shared" si="4"/>
        <v>0</v>
      </c>
      <c r="P31" s="5">
        <f t="shared" si="5"/>
        <v>1532.62</v>
      </c>
      <c r="Q31" s="5">
        <f t="shared" si="2"/>
        <v>51.08733333</v>
      </c>
      <c r="R31" s="9">
        <f t="shared" si="3"/>
        <v>1583.707333</v>
      </c>
    </row>
    <row r="32">
      <c r="A32" s="39">
        <v>45633.0</v>
      </c>
      <c r="B32" s="4" t="s">
        <v>47</v>
      </c>
      <c r="C32" s="21">
        <v>10.0</v>
      </c>
      <c r="E32" s="19"/>
      <c r="F32" s="5"/>
      <c r="H32" s="19"/>
      <c r="N32" s="39">
        <v>45657.0</v>
      </c>
      <c r="O32" s="40">
        <f t="shared" si="4"/>
        <v>0</v>
      </c>
      <c r="P32" s="5">
        <f t="shared" si="5"/>
        <v>1532.62</v>
      </c>
      <c r="Q32" s="5">
        <f t="shared" si="2"/>
        <v>49.43935484</v>
      </c>
      <c r="R32" s="9">
        <f t="shared" si="3"/>
        <v>1532.62</v>
      </c>
    </row>
    <row r="33">
      <c r="A33" s="39">
        <v>45633.0</v>
      </c>
      <c r="B33" s="4" t="s">
        <v>45</v>
      </c>
      <c r="C33" s="4">
        <v>7.55</v>
      </c>
      <c r="E33" s="19"/>
      <c r="F33" s="5"/>
      <c r="H33" s="19"/>
      <c r="N33" s="39"/>
      <c r="Q33" s="5"/>
      <c r="R33" s="9"/>
    </row>
    <row r="34">
      <c r="A34" s="39">
        <v>45634.0</v>
      </c>
      <c r="B34" s="4" t="s">
        <v>59</v>
      </c>
      <c r="C34" s="21">
        <v>21.27</v>
      </c>
      <c r="E34" s="19"/>
      <c r="F34" s="5"/>
      <c r="H34" s="19"/>
      <c r="Q34" s="5"/>
      <c r="R34" s="9"/>
    </row>
    <row r="35">
      <c r="A35" s="39">
        <v>45635.0</v>
      </c>
      <c r="B35" s="4" t="s">
        <v>288</v>
      </c>
      <c r="C35" s="4">
        <v>27.77</v>
      </c>
      <c r="E35" s="19"/>
      <c r="F35" s="5"/>
      <c r="H35" s="19"/>
      <c r="Q35" s="5"/>
      <c r="R35" s="9"/>
    </row>
    <row r="36">
      <c r="A36" s="39">
        <v>45635.0</v>
      </c>
      <c r="B36" s="4" t="s">
        <v>289</v>
      </c>
      <c r="C36" s="21">
        <v>5.94</v>
      </c>
      <c r="E36" s="19"/>
      <c r="F36" s="5"/>
      <c r="H36" s="19"/>
      <c r="Q36" s="5"/>
      <c r="R36" s="9"/>
    </row>
    <row r="37">
      <c r="A37" s="39">
        <v>45635.0</v>
      </c>
      <c r="B37" s="4" t="s">
        <v>127</v>
      </c>
      <c r="C37" s="21">
        <v>1.8</v>
      </c>
      <c r="E37" s="19"/>
      <c r="F37" s="5"/>
      <c r="H37" s="19"/>
      <c r="Q37" s="5"/>
      <c r="R37" s="9"/>
    </row>
    <row r="38">
      <c r="A38" s="39">
        <v>45636.0</v>
      </c>
      <c r="B38" s="4" t="s">
        <v>290</v>
      </c>
      <c r="C38" s="21">
        <v>7.95</v>
      </c>
      <c r="E38" s="19"/>
      <c r="F38" s="5"/>
      <c r="H38" s="19"/>
      <c r="Q38" s="5"/>
      <c r="R38" s="9"/>
    </row>
    <row r="39">
      <c r="A39" s="39">
        <v>45637.0</v>
      </c>
      <c r="B39" s="4" t="s">
        <v>53</v>
      </c>
      <c r="C39" s="21">
        <v>26.31</v>
      </c>
      <c r="E39" s="19"/>
      <c r="F39" s="5"/>
      <c r="H39" s="19"/>
      <c r="Q39" s="5"/>
      <c r="R39" s="9"/>
    </row>
    <row r="40">
      <c r="A40" s="39">
        <v>45637.0</v>
      </c>
      <c r="B40" s="4" t="s">
        <v>62</v>
      </c>
      <c r="C40" s="21">
        <v>6.25</v>
      </c>
      <c r="E40" s="19"/>
      <c r="F40" s="5"/>
      <c r="H40" s="19"/>
      <c r="Q40" s="5"/>
      <c r="R40" s="9"/>
    </row>
    <row r="41">
      <c r="A41" s="39">
        <v>45638.0</v>
      </c>
      <c r="B41" s="4" t="s">
        <v>291</v>
      </c>
      <c r="C41" s="21">
        <v>2.5</v>
      </c>
      <c r="E41" s="19"/>
      <c r="F41" s="5"/>
      <c r="H41" s="19"/>
      <c r="Q41" s="5"/>
      <c r="R41" s="9"/>
    </row>
    <row r="42">
      <c r="A42" s="39">
        <v>45639.0</v>
      </c>
      <c r="B42" s="4" t="s">
        <v>57</v>
      </c>
      <c r="C42" s="21">
        <v>16.03</v>
      </c>
      <c r="E42" s="19"/>
      <c r="F42" s="5"/>
      <c r="H42" s="19"/>
      <c r="Q42" s="5"/>
      <c r="R42" s="9"/>
    </row>
    <row r="43">
      <c r="A43" s="39">
        <v>45640.0</v>
      </c>
      <c r="B43" s="4" t="s">
        <v>140</v>
      </c>
      <c r="C43" s="21">
        <v>8.7</v>
      </c>
      <c r="E43" s="19"/>
      <c r="F43" s="5"/>
      <c r="H43" s="19"/>
      <c r="Q43" s="5"/>
      <c r="R43" s="9"/>
    </row>
    <row r="44">
      <c r="A44" s="39">
        <v>45640.0</v>
      </c>
      <c r="B44" s="4" t="s">
        <v>53</v>
      </c>
      <c r="C44" s="21">
        <v>17.42</v>
      </c>
      <c r="E44" s="19"/>
      <c r="F44" s="5"/>
      <c r="H44" s="19"/>
      <c r="Q44" s="5"/>
      <c r="R44" s="9"/>
    </row>
    <row r="45">
      <c r="A45" s="39">
        <v>45641.0</v>
      </c>
      <c r="B45" s="4" t="s">
        <v>59</v>
      </c>
      <c r="C45" s="21">
        <v>9.1</v>
      </c>
      <c r="E45" s="19"/>
      <c r="F45" s="5"/>
      <c r="H45" s="19"/>
      <c r="Q45" s="5"/>
      <c r="R45" s="9"/>
    </row>
    <row r="46">
      <c r="A46" s="39">
        <v>45641.0</v>
      </c>
      <c r="B46" s="4" t="s">
        <v>140</v>
      </c>
      <c r="C46" s="21">
        <v>21.7</v>
      </c>
      <c r="E46" s="19"/>
      <c r="F46" s="5"/>
      <c r="H46" s="19"/>
      <c r="Q46" s="5"/>
      <c r="R46" s="9"/>
    </row>
    <row r="47">
      <c r="A47" s="39">
        <v>45641.0</v>
      </c>
      <c r="B47" s="4" t="s">
        <v>76</v>
      </c>
      <c r="C47" s="21">
        <v>3.6</v>
      </c>
      <c r="E47" s="19"/>
      <c r="F47" s="5"/>
      <c r="H47" s="19"/>
      <c r="Q47" s="5"/>
      <c r="R47" s="9"/>
    </row>
    <row r="48">
      <c r="A48" s="39">
        <v>45642.0</v>
      </c>
      <c r="B48" s="4" t="s">
        <v>47</v>
      </c>
      <c r="C48" s="21">
        <v>8.33</v>
      </c>
      <c r="E48" s="19"/>
      <c r="F48" s="5"/>
      <c r="H48" s="19"/>
      <c r="Q48" s="5"/>
      <c r="R48" s="9"/>
    </row>
    <row r="49">
      <c r="A49" s="39">
        <v>45642.0</v>
      </c>
      <c r="B49" s="4" t="s">
        <v>127</v>
      </c>
      <c r="C49" s="21">
        <v>5.6</v>
      </c>
      <c r="E49" s="19"/>
      <c r="F49" s="5"/>
      <c r="H49" s="19"/>
      <c r="Q49" s="5"/>
      <c r="R49" s="9"/>
    </row>
    <row r="50">
      <c r="A50" s="39">
        <v>45643.0</v>
      </c>
      <c r="B50" s="4" t="s">
        <v>52</v>
      </c>
      <c r="C50" s="21">
        <v>17.46</v>
      </c>
      <c r="E50" s="19"/>
      <c r="F50" s="5"/>
      <c r="H50" s="19"/>
      <c r="Q50" s="5"/>
      <c r="R50" s="9"/>
    </row>
    <row r="51">
      <c r="A51" s="39">
        <v>45643.0</v>
      </c>
      <c r="B51" s="4" t="s">
        <v>292</v>
      </c>
      <c r="C51" s="21">
        <v>4.99</v>
      </c>
      <c r="E51" s="19"/>
      <c r="F51" s="5"/>
      <c r="H51" s="19"/>
      <c r="Q51" s="5"/>
      <c r="R51" s="9"/>
    </row>
    <row r="52">
      <c r="A52" s="39">
        <v>45644.0</v>
      </c>
      <c r="B52" s="4" t="s">
        <v>293</v>
      </c>
      <c r="C52" s="21">
        <v>26.49</v>
      </c>
      <c r="E52" s="19"/>
      <c r="F52" s="5"/>
      <c r="H52" s="19"/>
      <c r="Q52" s="5"/>
      <c r="R52" s="9"/>
    </row>
    <row r="53">
      <c r="A53" s="39">
        <v>45644.0</v>
      </c>
      <c r="B53" s="4" t="s">
        <v>47</v>
      </c>
      <c r="C53" s="21">
        <v>3.75</v>
      </c>
      <c r="E53" s="19"/>
      <c r="F53" s="5"/>
      <c r="H53" s="19"/>
      <c r="Q53" s="5"/>
      <c r="R53" s="9"/>
    </row>
    <row r="54">
      <c r="A54" s="39">
        <v>45645.0</v>
      </c>
      <c r="B54" s="4" t="s">
        <v>294</v>
      </c>
      <c r="C54" s="21">
        <v>23.95</v>
      </c>
      <c r="E54" s="19"/>
      <c r="F54" s="5"/>
      <c r="H54" s="19"/>
      <c r="Q54" s="5"/>
      <c r="R54" s="9"/>
    </row>
    <row r="55">
      <c r="A55" s="39">
        <v>45645.0</v>
      </c>
      <c r="B55" s="4" t="s">
        <v>295</v>
      </c>
      <c r="C55" s="4">
        <v>11.99</v>
      </c>
      <c r="E55" s="19"/>
      <c r="F55" s="5"/>
      <c r="H55" s="19"/>
      <c r="Q55" s="5"/>
      <c r="R55" s="9"/>
    </row>
    <row r="56">
      <c r="A56" s="39">
        <v>45645.0</v>
      </c>
      <c r="B56" s="4" t="s">
        <v>127</v>
      </c>
      <c r="C56" s="4">
        <v>8.5</v>
      </c>
      <c r="E56" s="19"/>
      <c r="F56" s="5"/>
      <c r="H56" s="19"/>
      <c r="Q56" s="5"/>
      <c r="R56" s="9"/>
    </row>
    <row r="57">
      <c r="A57" s="39">
        <v>45646.0</v>
      </c>
      <c r="B57" s="4" t="s">
        <v>156</v>
      </c>
      <c r="C57" s="43">
        <f>10.99+13.5+26.5+56.48</f>
        <v>107.47</v>
      </c>
      <c r="E57" s="19"/>
      <c r="F57" s="5"/>
      <c r="H57" s="19"/>
      <c r="Q57" s="5"/>
      <c r="R57" s="9"/>
    </row>
    <row r="58">
      <c r="A58" s="39">
        <v>45646.0</v>
      </c>
      <c r="B58" s="4" t="s">
        <v>140</v>
      </c>
      <c r="C58" s="21">
        <v>5.99</v>
      </c>
      <c r="E58" s="19"/>
      <c r="F58" s="5"/>
      <c r="H58" s="19"/>
      <c r="Q58" s="5"/>
      <c r="R58" s="9"/>
    </row>
    <row r="59">
      <c r="A59" s="39">
        <v>45646.0</v>
      </c>
      <c r="B59" s="4" t="s">
        <v>127</v>
      </c>
      <c r="C59" s="21">
        <v>2.0</v>
      </c>
      <c r="E59" s="19"/>
      <c r="F59" s="5"/>
      <c r="H59" s="19"/>
      <c r="Q59" s="5"/>
      <c r="R59" s="9"/>
    </row>
    <row r="60">
      <c r="A60" s="39">
        <v>45647.0</v>
      </c>
      <c r="B60" s="4" t="s">
        <v>62</v>
      </c>
      <c r="C60" s="21">
        <v>0.8</v>
      </c>
      <c r="E60" s="19"/>
      <c r="F60" s="5"/>
      <c r="H60" s="19"/>
      <c r="Q60" s="5"/>
      <c r="R60" s="9"/>
    </row>
    <row r="61">
      <c r="A61" s="39">
        <v>45647.0</v>
      </c>
      <c r="B61" s="4" t="s">
        <v>62</v>
      </c>
      <c r="C61" s="21">
        <v>1.15</v>
      </c>
      <c r="E61" s="19"/>
      <c r="F61" s="5"/>
      <c r="H61" s="19"/>
      <c r="Q61" s="5"/>
      <c r="R61" s="9"/>
    </row>
    <row r="62">
      <c r="A62" s="39">
        <v>45647.0</v>
      </c>
      <c r="B62" s="4" t="s">
        <v>45</v>
      </c>
      <c r="C62" s="21">
        <f>14+17.5+1.5+14.75+12</f>
        <v>59.75</v>
      </c>
      <c r="E62" s="19"/>
      <c r="F62" s="5"/>
      <c r="H62" s="19"/>
      <c r="Q62" s="5"/>
      <c r="R62" s="9"/>
    </row>
    <row r="63">
      <c r="A63" s="39">
        <v>45647.0</v>
      </c>
      <c r="B63" s="4" t="s">
        <v>73</v>
      </c>
      <c r="C63" s="21">
        <v>7.95</v>
      </c>
      <c r="E63" s="19"/>
      <c r="F63" s="5"/>
      <c r="H63" s="19"/>
      <c r="Q63" s="5"/>
      <c r="R63" s="9"/>
    </row>
    <row r="64">
      <c r="A64" s="39">
        <v>45647.0</v>
      </c>
      <c r="B64" s="4" t="s">
        <v>127</v>
      </c>
      <c r="C64" s="21">
        <v>2.8</v>
      </c>
      <c r="E64" s="19"/>
      <c r="F64" s="5"/>
      <c r="H64" s="19"/>
      <c r="Q64" s="5"/>
      <c r="R64" s="9"/>
    </row>
    <row r="65">
      <c r="A65" s="39">
        <v>45647.0</v>
      </c>
      <c r="B65" s="4" t="s">
        <v>296</v>
      </c>
      <c r="C65" s="21">
        <v>29.4</v>
      </c>
      <c r="E65" s="19"/>
      <c r="F65" s="5"/>
      <c r="H65" s="19"/>
      <c r="Q65" s="5"/>
      <c r="R65" s="9"/>
    </row>
    <row r="66">
      <c r="A66" s="39">
        <v>45648.0</v>
      </c>
      <c r="B66" s="4" t="s">
        <v>73</v>
      </c>
      <c r="C66" s="21">
        <v>5.67</v>
      </c>
      <c r="E66" s="19"/>
      <c r="F66" s="5"/>
      <c r="H66" s="19"/>
      <c r="Q66" s="5"/>
      <c r="R66" s="9"/>
    </row>
    <row r="67">
      <c r="A67" s="39">
        <v>45648.0</v>
      </c>
      <c r="B67" s="4" t="s">
        <v>47</v>
      </c>
      <c r="C67" s="21">
        <v>6.0</v>
      </c>
      <c r="E67" s="19"/>
      <c r="F67" s="5"/>
      <c r="H67" s="19"/>
      <c r="Q67" s="5"/>
      <c r="R67" s="9"/>
    </row>
    <row r="68">
      <c r="A68" s="39">
        <v>45649.0</v>
      </c>
      <c r="B68" s="4" t="s">
        <v>140</v>
      </c>
      <c r="C68" s="21">
        <v>9.45</v>
      </c>
      <c r="E68" s="19"/>
      <c r="F68" s="5"/>
      <c r="H68" s="19"/>
      <c r="Q68" s="5"/>
      <c r="R68" s="9"/>
    </row>
    <row r="69">
      <c r="A69" s="39">
        <v>45649.0</v>
      </c>
      <c r="B69" s="4" t="s">
        <v>127</v>
      </c>
      <c r="C69" s="4">
        <v>2.8</v>
      </c>
      <c r="E69" s="19"/>
      <c r="F69" s="5"/>
      <c r="H69" s="19"/>
      <c r="Q69" s="5"/>
      <c r="R69" s="9"/>
    </row>
    <row r="70">
      <c r="A70" s="39">
        <v>45650.0</v>
      </c>
      <c r="B70" s="4" t="s">
        <v>47</v>
      </c>
      <c r="C70" s="21">
        <v>23.04</v>
      </c>
      <c r="E70" s="19"/>
      <c r="F70" s="5"/>
      <c r="H70" s="19"/>
      <c r="Q70" s="5"/>
      <c r="R70" s="9"/>
    </row>
    <row r="71">
      <c r="A71" s="39">
        <v>45650.0</v>
      </c>
      <c r="B71" s="4" t="s">
        <v>45</v>
      </c>
      <c r="C71" s="21">
        <f>6.3+21.6+12.6+10.06</f>
        <v>50.56</v>
      </c>
      <c r="E71" s="19"/>
      <c r="F71" s="5"/>
      <c r="H71" s="19"/>
      <c r="Q71" s="5"/>
      <c r="R71" s="9"/>
    </row>
    <row r="72">
      <c r="A72" s="39">
        <v>45651.0</v>
      </c>
      <c r="B72" s="4" t="s">
        <v>73</v>
      </c>
      <c r="C72" s="21">
        <v>12.56</v>
      </c>
      <c r="E72" s="19"/>
      <c r="F72" s="5"/>
      <c r="H72" s="19"/>
      <c r="Q72" s="5"/>
      <c r="R72" s="9"/>
    </row>
    <row r="73">
      <c r="A73" s="39">
        <v>45651.0</v>
      </c>
      <c r="B73" s="4" t="s">
        <v>127</v>
      </c>
      <c r="C73" s="21">
        <v>1.9</v>
      </c>
      <c r="E73" s="19"/>
      <c r="F73" s="5"/>
      <c r="H73" s="19"/>
      <c r="Q73" s="5"/>
      <c r="R73" s="9"/>
    </row>
    <row r="74">
      <c r="A74" s="39">
        <v>45652.0</v>
      </c>
      <c r="B74" s="4" t="s">
        <v>47</v>
      </c>
      <c r="C74" s="21">
        <v>13.03</v>
      </c>
      <c r="E74" s="19"/>
      <c r="F74" s="5"/>
      <c r="H74" s="19"/>
      <c r="Q74" s="5"/>
      <c r="R74" s="9"/>
    </row>
    <row r="75">
      <c r="A75" s="39">
        <v>45652.0</v>
      </c>
      <c r="B75" s="4" t="s">
        <v>64</v>
      </c>
      <c r="C75" s="21">
        <v>231.9</v>
      </c>
      <c r="E75" s="19"/>
      <c r="F75" s="5"/>
      <c r="H75" s="19"/>
      <c r="Q75" s="5"/>
      <c r="R75" s="9"/>
    </row>
    <row r="76">
      <c r="A76" s="39">
        <v>45653.0</v>
      </c>
      <c r="B76" s="4" t="s">
        <v>297</v>
      </c>
      <c r="C76" s="21">
        <f>11.5+1.69+2.75</f>
        <v>15.94</v>
      </c>
      <c r="E76" s="19"/>
      <c r="F76" s="5"/>
      <c r="H76" s="19"/>
      <c r="Q76" s="5"/>
      <c r="R76" s="9"/>
    </row>
    <row r="77">
      <c r="A77" s="39">
        <v>45653.0</v>
      </c>
      <c r="B77" s="4" t="s">
        <v>73</v>
      </c>
      <c r="C77" s="21">
        <v>4.99</v>
      </c>
      <c r="E77" s="19"/>
      <c r="F77" s="5"/>
      <c r="H77" s="19"/>
      <c r="Q77" s="5"/>
      <c r="R77" s="9"/>
    </row>
    <row r="78">
      <c r="A78" s="39">
        <v>45654.0</v>
      </c>
      <c r="B78" s="4" t="s">
        <v>77</v>
      </c>
      <c r="C78" s="21">
        <v>220.0</v>
      </c>
      <c r="E78" s="19"/>
      <c r="F78" s="5"/>
      <c r="H78" s="19"/>
      <c r="Q78" s="5"/>
      <c r="R78" s="9"/>
    </row>
    <row r="79">
      <c r="A79" s="39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V2">
    <cfRule type="cellIs" dxfId="2" priority="1" operator="greaterThan">
      <formula>0</formula>
    </cfRule>
  </conditionalFormatting>
  <conditionalFormatting sqref="V2">
    <cfRule type="cellIs" dxfId="3" priority="2" operator="lessThan">
      <formula>0</formula>
    </cfRule>
  </conditionalFormatting>
  <conditionalFormatting sqref="N1:N33">
    <cfRule type="timePeriod" dxfId="4" priority="3" timePeriod="today"/>
  </conditionalFormatting>
  <conditionalFormatting sqref="N1 N33:N999">
    <cfRule type="timePeriod" dxfId="5" priority="4" timePeriod="today"/>
  </conditionalFormatting>
  <conditionalFormatting sqref="O1:O999 Q1:Q999">
    <cfRule type="cellIs" dxfId="0" priority="5" operator="lessThan">
      <formula>25</formula>
    </cfRule>
  </conditionalFormatting>
  <conditionalFormatting sqref="O1:O999 Q1:Q999">
    <cfRule type="cellIs" dxfId="6" priority="6" operator="lessThan">
      <formula>35</formula>
    </cfRule>
  </conditionalFormatting>
  <conditionalFormatting sqref="O1:O999 Q1:Q999">
    <cfRule type="cellIs" dxfId="1" priority="7" operator="greaterThanOrEqual">
      <formula>35</formula>
    </cfRule>
  </conditionalFormatting>
  <conditionalFormatting sqref="I1">
    <cfRule type="cellIs" dxfId="1" priority="8" operator="lessThan">
      <formula>0</formula>
    </cfRule>
  </conditionalFormatting>
  <conditionalFormatting sqref="I1">
    <cfRule type="cellIs" dxfId="0" priority="9" operator="greaterThan">
      <formula>0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95.65</v>
      </c>
      <c r="H1" s="1" t="s">
        <v>46</v>
      </c>
      <c r="I1" s="5">
        <f>I6-I7</f>
        <v>63.91</v>
      </c>
      <c r="J1" s="19"/>
      <c r="K1" s="1" t="s">
        <v>47</v>
      </c>
      <c r="L1" s="5">
        <f t="shared" ref="L1:L5" si="1">SUMIF(B:B,K1,C:I)</f>
        <v>52.33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" t="s">
        <v>233</v>
      </c>
      <c r="U1" s="1" t="s">
        <v>234</v>
      </c>
      <c r="V1" s="1" t="s">
        <v>235</v>
      </c>
      <c r="W1" s="19"/>
      <c r="X1" s="19"/>
      <c r="Y1" s="19"/>
      <c r="Z1" s="19"/>
    </row>
    <row r="2">
      <c r="A2" s="39">
        <v>45597.0</v>
      </c>
      <c r="B2" s="4" t="s">
        <v>8</v>
      </c>
      <c r="C2" s="21">
        <v>500.0</v>
      </c>
      <c r="E2" s="1" t="s">
        <v>52</v>
      </c>
      <c r="F2" s="5">
        <f>SUMIF(B:B,"Deliveroo",C:C)+SUMIF(B:B,"Just eat",C:C)+SUMIF(B:B,"Uber eats",C:C)+SUMIF(B:B,E2,C:C)</f>
        <v>61.81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54</v>
      </c>
      <c r="N2" s="39">
        <v>45597.0</v>
      </c>
      <c r="O2" s="5">
        <f>sumif(A:A,N2,C:C)-sum(C2:C7)</f>
        <v>29.5</v>
      </c>
      <c r="P2" s="5">
        <f>SUM(O2)</f>
        <v>29.5</v>
      </c>
      <c r="Q2" s="5">
        <f t="shared" ref="Q2:Q31" si="2">P2/(ROW()-1)</f>
        <v>29.5</v>
      </c>
      <c r="R2" s="9">
        <f t="shared" ref="R2:R31" si="3">count(N:N)*Q2</f>
        <v>885</v>
      </c>
      <c r="T2" s="9" t="str">
        <f>IFERROR(__xludf.DUMMYFUNCTION("(I1+(FILTER(O:O,N:N=TODAY()-1)))/(COUNTIF(N:N, ""&gt;="" &amp; TODAY())+1)"),"#N/A")</f>
        <v>#N/A</v>
      </c>
      <c r="U2" s="9" t="str">
        <f>I1/COUNTIF(N:N, "&gt;=" &amp; TODAY())</f>
        <v>#DIV/0!</v>
      </c>
      <c r="V2" s="40" t="str">
        <f>U2-T2</f>
        <v>#DIV/0!</v>
      </c>
    </row>
    <row r="3">
      <c r="A3" s="39">
        <v>45597.0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0</v>
      </c>
      <c r="H3" s="1" t="s">
        <v>8</v>
      </c>
      <c r="I3" s="5">
        <f>SUMIF(B:B,H3,C:C)+I1</f>
        <v>563.91</v>
      </c>
      <c r="K3" s="1" t="s">
        <v>56</v>
      </c>
      <c r="L3" s="5">
        <f t="shared" si="1"/>
        <v>0</v>
      </c>
      <c r="N3" s="39">
        <v>45598.0</v>
      </c>
      <c r="O3" s="40">
        <f t="shared" ref="O3:O31" si="4">sumif(A:A,N3,C:C)</f>
        <v>9</v>
      </c>
      <c r="P3" s="5">
        <f t="shared" ref="P3:P31" si="5">P2+O3</f>
        <v>38.5</v>
      </c>
      <c r="Q3" s="5">
        <f t="shared" si="2"/>
        <v>19.25</v>
      </c>
      <c r="R3" s="9">
        <f t="shared" si="3"/>
        <v>577.5</v>
      </c>
    </row>
    <row r="4">
      <c r="A4" s="39">
        <v>45597.0</v>
      </c>
      <c r="B4" s="4" t="s">
        <v>6</v>
      </c>
      <c r="C4" s="21">
        <v>250.0</v>
      </c>
      <c r="E4" s="1" t="s">
        <v>140</v>
      </c>
      <c r="F4" s="5">
        <f t="shared" ref="F4:F5" si="6">SUMIF(B:B,E4,C:C)</f>
        <v>56.44</v>
      </c>
      <c r="H4" s="1" t="s">
        <v>58</v>
      </c>
      <c r="I4" s="5">
        <f>I2+I3</f>
        <v>813.91</v>
      </c>
      <c r="K4" s="1" t="s">
        <v>59</v>
      </c>
      <c r="L4" s="5">
        <f t="shared" si="1"/>
        <v>50.74</v>
      </c>
      <c r="N4" s="39">
        <v>45599.0</v>
      </c>
      <c r="O4" s="40">
        <f t="shared" si="4"/>
        <v>36.31</v>
      </c>
      <c r="P4" s="5">
        <f t="shared" si="5"/>
        <v>74.81</v>
      </c>
      <c r="Q4" s="5">
        <f t="shared" si="2"/>
        <v>24.93666667</v>
      </c>
      <c r="R4" s="9">
        <f t="shared" si="3"/>
        <v>748.1</v>
      </c>
    </row>
    <row r="5">
      <c r="A5" s="39">
        <v>45597.0</v>
      </c>
      <c r="B5" s="4" t="s">
        <v>252</v>
      </c>
      <c r="C5" s="21">
        <v>9.0</v>
      </c>
      <c r="E5" s="1" t="s">
        <v>210</v>
      </c>
      <c r="F5" s="5">
        <f t="shared" si="6"/>
        <v>78.24</v>
      </c>
      <c r="K5" s="1" t="s">
        <v>62</v>
      </c>
      <c r="L5" s="5">
        <f t="shared" si="1"/>
        <v>52.3</v>
      </c>
      <c r="N5" s="39">
        <v>45600.0</v>
      </c>
      <c r="O5" s="40">
        <f t="shared" si="4"/>
        <v>33.09</v>
      </c>
      <c r="P5" s="5">
        <f t="shared" si="5"/>
        <v>107.9</v>
      </c>
      <c r="Q5" s="5">
        <f t="shared" si="2"/>
        <v>26.975</v>
      </c>
      <c r="R5" s="9">
        <f t="shared" si="3"/>
        <v>809.25</v>
      </c>
    </row>
    <row r="6">
      <c r="A6" s="39">
        <v>45597.0</v>
      </c>
      <c r="B6" s="4" t="s">
        <v>254</v>
      </c>
      <c r="C6" s="21">
        <f>99/12</f>
        <v>8.25</v>
      </c>
      <c r="E6" s="1" t="s">
        <v>57</v>
      </c>
      <c r="F6" s="5">
        <f>sum(L:L)+sumif(B:B,"Groceries",C:C)</f>
        <v>231.39</v>
      </c>
      <c r="H6" s="1" t="s">
        <v>65</v>
      </c>
      <c r="I6" s="21">
        <v>2988.17</v>
      </c>
      <c r="N6" s="39">
        <v>45601.0</v>
      </c>
      <c r="O6" s="40">
        <f t="shared" si="4"/>
        <v>21.56</v>
      </c>
      <c r="P6" s="5">
        <f t="shared" si="5"/>
        <v>129.46</v>
      </c>
      <c r="Q6" s="5">
        <f t="shared" si="2"/>
        <v>25.892</v>
      </c>
      <c r="R6" s="9">
        <f t="shared" si="3"/>
        <v>776.76</v>
      </c>
    </row>
    <row r="7">
      <c r="A7" s="39">
        <v>45597.0</v>
      </c>
      <c r="B7" s="4" t="s">
        <v>253</v>
      </c>
      <c r="C7" s="21">
        <v>35.99</v>
      </c>
      <c r="E7" s="42" t="s">
        <v>61</v>
      </c>
      <c r="F7" s="5">
        <f>SUMIF(B:B,"Games",C:C)+SUMIF(B:B,"Spotify",C:C)+SUMIF(B:B,"Streaming",C:C)+SUMIF(B:B,"Book",C:C)+SUMIF(B:B,"Audible",C:C)+SUMIF(B:B,"Cinema",C:C)+SUMIF(B:B,"Theatre",C:C)</f>
        <v>115.73</v>
      </c>
      <c r="H7" s="1" t="s">
        <v>68</v>
      </c>
      <c r="I7" s="5">
        <f>sum(C:C)</f>
        <v>2924.26</v>
      </c>
      <c r="N7" s="39">
        <v>45602.0</v>
      </c>
      <c r="O7" s="40">
        <f t="shared" si="4"/>
        <v>31.81</v>
      </c>
      <c r="P7" s="5">
        <f t="shared" si="5"/>
        <v>161.27</v>
      </c>
      <c r="Q7" s="5">
        <f t="shared" si="2"/>
        <v>26.87833333</v>
      </c>
      <c r="R7" s="9">
        <f t="shared" si="3"/>
        <v>806.35</v>
      </c>
    </row>
    <row r="8">
      <c r="A8" s="39">
        <v>45597.0</v>
      </c>
      <c r="B8" s="4" t="s">
        <v>259</v>
      </c>
      <c r="C8" s="5">
        <f>88.5/3</f>
        <v>29.5</v>
      </c>
      <c r="E8" s="1" t="s">
        <v>64</v>
      </c>
      <c r="F8" s="5">
        <f>SUMIF(B:B,E8,C:C)+SUMIF(B:B,"Shoes",C:C)</f>
        <v>149.17</v>
      </c>
      <c r="H8" s="1" t="s">
        <v>72</v>
      </c>
      <c r="I8" s="5">
        <f>sum(F:F)+I2+C2</f>
        <v>2776.85</v>
      </c>
      <c r="N8" s="39">
        <v>45603.0</v>
      </c>
      <c r="O8" s="40">
        <f t="shared" si="4"/>
        <v>40.45</v>
      </c>
      <c r="P8" s="5">
        <f t="shared" si="5"/>
        <v>201.72</v>
      </c>
      <c r="Q8" s="5">
        <f t="shared" si="2"/>
        <v>28.81714286</v>
      </c>
      <c r="R8" s="9">
        <f t="shared" si="3"/>
        <v>864.5142857</v>
      </c>
    </row>
    <row r="9">
      <c r="A9" s="39">
        <v>45598.0</v>
      </c>
      <c r="B9" s="4" t="s">
        <v>298</v>
      </c>
      <c r="C9" s="21">
        <v>9.0</v>
      </c>
      <c r="E9" s="1" t="s">
        <v>54</v>
      </c>
      <c r="F9" s="5">
        <f>SUMIF(B:B,E9,C:C)+SUMIF(B:B,"Phone",C:C)</f>
        <v>1114</v>
      </c>
      <c r="H9" s="1" t="s">
        <v>74</v>
      </c>
      <c r="I9" s="5">
        <f>I7-I8</f>
        <v>147.41</v>
      </c>
      <c r="N9" s="39">
        <v>45604.0</v>
      </c>
      <c r="O9" s="40">
        <f t="shared" si="4"/>
        <v>58.63</v>
      </c>
      <c r="P9" s="5">
        <f t="shared" si="5"/>
        <v>260.35</v>
      </c>
      <c r="Q9" s="5">
        <f t="shared" si="2"/>
        <v>32.54375</v>
      </c>
      <c r="R9" s="9">
        <f t="shared" si="3"/>
        <v>976.3125</v>
      </c>
    </row>
    <row r="10">
      <c r="A10" s="39">
        <v>45599.0</v>
      </c>
      <c r="B10" s="4" t="s">
        <v>57</v>
      </c>
      <c r="C10" s="21">
        <v>4.63</v>
      </c>
      <c r="E10" s="1" t="s">
        <v>127</v>
      </c>
      <c r="F10" s="5">
        <f>SUMIF(B:B,E10,C:C)</f>
        <v>56.7</v>
      </c>
      <c r="N10" s="39">
        <v>45605.0</v>
      </c>
      <c r="O10" s="40">
        <f t="shared" si="4"/>
        <v>13.9</v>
      </c>
      <c r="P10" s="5">
        <f t="shared" si="5"/>
        <v>274.25</v>
      </c>
      <c r="Q10" s="5">
        <f t="shared" si="2"/>
        <v>30.47222222</v>
      </c>
      <c r="R10" s="9">
        <f t="shared" si="3"/>
        <v>914.1666667</v>
      </c>
    </row>
    <row r="11">
      <c r="A11" s="39">
        <v>45599.0</v>
      </c>
      <c r="B11" s="4" t="s">
        <v>47</v>
      </c>
      <c r="C11" s="21">
        <v>6.14</v>
      </c>
      <c r="E11" s="1" t="s">
        <v>73</v>
      </c>
      <c r="F11" s="5">
        <f>SUMIF(B:B,"Uber",C:C)</f>
        <v>11.93</v>
      </c>
      <c r="H11" s="1" t="s">
        <v>3</v>
      </c>
      <c r="I11" s="28">
        <f>I4/I6</f>
        <v>0.2723774082</v>
      </c>
      <c r="N11" s="39">
        <v>45606.0</v>
      </c>
      <c r="O11" s="40">
        <f t="shared" si="4"/>
        <v>0</v>
      </c>
      <c r="P11" s="5">
        <f t="shared" si="5"/>
        <v>274.25</v>
      </c>
      <c r="Q11" s="5">
        <f t="shared" si="2"/>
        <v>27.425</v>
      </c>
      <c r="R11" s="9">
        <f t="shared" si="3"/>
        <v>822.75</v>
      </c>
    </row>
    <row r="12">
      <c r="A12" s="39">
        <v>45599.0</v>
      </c>
      <c r="B12" s="4" t="s">
        <v>299</v>
      </c>
      <c r="C12" s="21">
        <v>11.84</v>
      </c>
      <c r="E12" s="1" t="s">
        <v>75</v>
      </c>
      <c r="F12" s="9">
        <f>SUMIF(B:B,"Gym",C:C)+SUMIF(B:B,"Climbing",C:C)+SUMIF(B:B,"Tennis",C:C)</f>
        <v>51.99</v>
      </c>
      <c r="N12" s="39">
        <v>45607.0</v>
      </c>
      <c r="O12" s="40">
        <f t="shared" si="4"/>
        <v>73.49</v>
      </c>
      <c r="P12" s="5">
        <f t="shared" si="5"/>
        <v>347.74</v>
      </c>
      <c r="Q12" s="5">
        <f t="shared" si="2"/>
        <v>31.61272727</v>
      </c>
      <c r="R12" s="9">
        <f t="shared" si="3"/>
        <v>948.3818182</v>
      </c>
    </row>
    <row r="13">
      <c r="A13" s="39">
        <v>45599.0</v>
      </c>
      <c r="B13" s="4" t="s">
        <v>52</v>
      </c>
      <c r="C13" s="21">
        <v>13.7</v>
      </c>
      <c r="E13" s="1" t="s">
        <v>76</v>
      </c>
      <c r="F13" s="5">
        <f>SUMIF(B:B,"Coffee",C:C)</f>
        <v>3.8</v>
      </c>
      <c r="N13" s="39">
        <v>45608.0</v>
      </c>
      <c r="O13" s="40">
        <f t="shared" si="4"/>
        <v>5.6</v>
      </c>
      <c r="P13" s="5">
        <f t="shared" si="5"/>
        <v>353.34</v>
      </c>
      <c r="Q13" s="5">
        <f t="shared" si="2"/>
        <v>29.445</v>
      </c>
      <c r="R13" s="9">
        <f t="shared" si="3"/>
        <v>883.35</v>
      </c>
    </row>
    <row r="14">
      <c r="A14" s="39">
        <v>45600.0</v>
      </c>
      <c r="B14" s="4" t="s">
        <v>59</v>
      </c>
      <c r="C14" s="21">
        <v>23.49</v>
      </c>
      <c r="E14" s="1" t="s">
        <v>77</v>
      </c>
      <c r="F14" s="40">
        <f>0</f>
        <v>0</v>
      </c>
      <c r="H14" s="19"/>
      <c r="N14" s="39">
        <v>45609.0</v>
      </c>
      <c r="O14" s="40">
        <f t="shared" si="4"/>
        <v>31.06</v>
      </c>
      <c r="P14" s="5">
        <f t="shared" si="5"/>
        <v>384.4</v>
      </c>
      <c r="Q14" s="5">
        <f t="shared" si="2"/>
        <v>29.56923077</v>
      </c>
      <c r="R14" s="9">
        <f t="shared" si="3"/>
        <v>887.0769231</v>
      </c>
    </row>
    <row r="15">
      <c r="A15" s="39">
        <v>45600.0</v>
      </c>
      <c r="B15" s="4" t="s">
        <v>300</v>
      </c>
      <c r="C15" s="21">
        <v>7.5</v>
      </c>
      <c r="E15" s="1"/>
      <c r="H15" s="1" t="s">
        <v>55</v>
      </c>
      <c r="I15" s="5">
        <f>sum(F2:F5)+F13</f>
        <v>200.29</v>
      </c>
      <c r="N15" s="39">
        <v>45610.0</v>
      </c>
      <c r="O15" s="40">
        <f t="shared" si="4"/>
        <v>35.88</v>
      </c>
      <c r="P15" s="5">
        <f t="shared" si="5"/>
        <v>420.28</v>
      </c>
      <c r="Q15" s="5">
        <f t="shared" si="2"/>
        <v>30.02</v>
      </c>
      <c r="R15" s="9">
        <f t="shared" si="3"/>
        <v>900.6</v>
      </c>
    </row>
    <row r="16">
      <c r="A16" s="39">
        <v>45600.0</v>
      </c>
      <c r="B16" s="4" t="s">
        <v>127</v>
      </c>
      <c r="C16" s="21">
        <v>2.1</v>
      </c>
      <c r="H16" s="19"/>
      <c r="N16" s="39">
        <v>45611.0</v>
      </c>
      <c r="O16" s="40">
        <f t="shared" si="4"/>
        <v>8</v>
      </c>
      <c r="P16" s="5">
        <f t="shared" si="5"/>
        <v>428.28</v>
      </c>
      <c r="Q16" s="5">
        <f t="shared" si="2"/>
        <v>28.552</v>
      </c>
      <c r="R16" s="9">
        <f t="shared" si="3"/>
        <v>856.56</v>
      </c>
    </row>
    <row r="17">
      <c r="A17" s="39">
        <v>45601.0</v>
      </c>
      <c r="B17" s="4" t="s">
        <v>53</v>
      </c>
      <c r="C17" s="21">
        <v>11.46</v>
      </c>
      <c r="H17" s="19"/>
      <c r="N17" s="39">
        <v>45612.0</v>
      </c>
      <c r="O17" s="40">
        <f t="shared" si="4"/>
        <v>152.05</v>
      </c>
      <c r="P17" s="5">
        <f t="shared" si="5"/>
        <v>580.33</v>
      </c>
      <c r="Q17" s="5">
        <f t="shared" si="2"/>
        <v>36.270625</v>
      </c>
      <c r="R17" s="9">
        <f t="shared" si="3"/>
        <v>1088.11875</v>
      </c>
    </row>
    <row r="18">
      <c r="A18" s="39">
        <v>45601.0</v>
      </c>
      <c r="B18" s="4" t="s">
        <v>298</v>
      </c>
      <c r="C18" s="21">
        <v>4.5</v>
      </c>
      <c r="H18" s="19"/>
      <c r="N18" s="39">
        <v>45613.0</v>
      </c>
      <c r="O18" s="40">
        <f t="shared" si="4"/>
        <v>24.19</v>
      </c>
      <c r="P18" s="5">
        <f t="shared" si="5"/>
        <v>604.52</v>
      </c>
      <c r="Q18" s="5">
        <f t="shared" si="2"/>
        <v>35.56</v>
      </c>
      <c r="R18" s="9">
        <f t="shared" si="3"/>
        <v>1066.8</v>
      </c>
    </row>
    <row r="19">
      <c r="A19" s="39">
        <v>45601.0</v>
      </c>
      <c r="B19" s="4" t="s">
        <v>127</v>
      </c>
      <c r="C19" s="21">
        <v>5.6</v>
      </c>
      <c r="H19" s="19"/>
      <c r="N19" s="39">
        <v>45614.0</v>
      </c>
      <c r="O19" s="40">
        <f t="shared" si="4"/>
        <v>32.44</v>
      </c>
      <c r="P19" s="5">
        <f t="shared" si="5"/>
        <v>636.96</v>
      </c>
      <c r="Q19" s="5">
        <f t="shared" si="2"/>
        <v>35.38666667</v>
      </c>
      <c r="R19" s="9">
        <f t="shared" si="3"/>
        <v>1061.6</v>
      </c>
    </row>
    <row r="20">
      <c r="A20" s="39">
        <v>45602.0</v>
      </c>
      <c r="B20" s="4" t="s">
        <v>112</v>
      </c>
      <c r="C20" s="21">
        <v>18.56</v>
      </c>
      <c r="H20" s="19"/>
      <c r="N20" s="39">
        <v>45615.0</v>
      </c>
      <c r="O20" s="40">
        <f t="shared" si="4"/>
        <v>12.71</v>
      </c>
      <c r="P20" s="5">
        <f t="shared" si="5"/>
        <v>649.67</v>
      </c>
      <c r="Q20" s="5">
        <f t="shared" si="2"/>
        <v>34.19315789</v>
      </c>
      <c r="R20" s="9">
        <f t="shared" si="3"/>
        <v>1025.794737</v>
      </c>
    </row>
    <row r="21">
      <c r="A21" s="39">
        <v>45602.0</v>
      </c>
      <c r="B21" s="4" t="s">
        <v>47</v>
      </c>
      <c r="C21" s="21">
        <f>11-2.5</f>
        <v>8.5</v>
      </c>
      <c r="E21" s="19"/>
      <c r="F21" s="5"/>
      <c r="H21" s="19"/>
      <c r="N21" s="39">
        <v>45616.0</v>
      </c>
      <c r="O21" s="40">
        <f t="shared" si="4"/>
        <v>5.71</v>
      </c>
      <c r="P21" s="5">
        <f t="shared" si="5"/>
        <v>655.38</v>
      </c>
      <c r="Q21" s="5">
        <f t="shared" si="2"/>
        <v>32.769</v>
      </c>
      <c r="R21" s="9">
        <f t="shared" si="3"/>
        <v>983.07</v>
      </c>
    </row>
    <row r="22">
      <c r="A22" s="39">
        <v>45602.0</v>
      </c>
      <c r="B22" s="4" t="s">
        <v>47</v>
      </c>
      <c r="C22" s="21">
        <v>3.94</v>
      </c>
      <c r="E22" s="19"/>
      <c r="F22" s="5"/>
      <c r="H22" s="19"/>
      <c r="N22" s="39">
        <v>45617.0</v>
      </c>
      <c r="O22" s="40">
        <f t="shared" si="4"/>
        <v>28.85</v>
      </c>
      <c r="P22" s="5">
        <f t="shared" si="5"/>
        <v>684.23</v>
      </c>
      <c r="Q22" s="5">
        <f t="shared" si="2"/>
        <v>32.58238095</v>
      </c>
      <c r="R22" s="9">
        <f t="shared" si="3"/>
        <v>977.4714286</v>
      </c>
    </row>
    <row r="23">
      <c r="A23" s="39">
        <v>45602.0</v>
      </c>
      <c r="B23" s="4" t="s">
        <v>47</v>
      </c>
      <c r="C23" s="21">
        <v>0.81</v>
      </c>
      <c r="E23" s="19"/>
      <c r="F23" s="5"/>
      <c r="H23" s="19"/>
      <c r="N23" s="39">
        <v>45618.0</v>
      </c>
      <c r="O23" s="40">
        <f t="shared" si="4"/>
        <v>42.3</v>
      </c>
      <c r="P23" s="5">
        <f t="shared" si="5"/>
        <v>726.53</v>
      </c>
      <c r="Q23" s="5">
        <f t="shared" si="2"/>
        <v>33.02409091</v>
      </c>
      <c r="R23" s="9">
        <f t="shared" si="3"/>
        <v>990.7227273</v>
      </c>
    </row>
    <row r="24">
      <c r="A24" s="39">
        <v>45603.0</v>
      </c>
      <c r="B24" s="4" t="s">
        <v>140</v>
      </c>
      <c r="C24" s="21">
        <v>11.95</v>
      </c>
      <c r="E24" s="19"/>
      <c r="F24" s="5"/>
      <c r="H24" s="19"/>
      <c r="N24" s="39">
        <v>45619.0</v>
      </c>
      <c r="O24" s="40">
        <f t="shared" si="4"/>
        <v>22.59</v>
      </c>
      <c r="P24" s="5">
        <f t="shared" si="5"/>
        <v>749.12</v>
      </c>
      <c r="Q24" s="5">
        <f t="shared" si="2"/>
        <v>32.57043478</v>
      </c>
      <c r="R24" s="9">
        <f t="shared" si="3"/>
        <v>977.1130435</v>
      </c>
    </row>
    <row r="25">
      <c r="A25" s="39">
        <v>45603.0</v>
      </c>
      <c r="B25" s="4" t="s">
        <v>45</v>
      </c>
      <c r="C25" s="21">
        <f>6.8+13.6</f>
        <v>20.4</v>
      </c>
      <c r="E25" s="19"/>
      <c r="F25" s="5"/>
      <c r="H25" s="19"/>
      <c r="N25" s="39">
        <v>45620.0</v>
      </c>
      <c r="O25" s="40">
        <f t="shared" si="4"/>
        <v>25.11</v>
      </c>
      <c r="P25" s="5">
        <f t="shared" si="5"/>
        <v>774.23</v>
      </c>
      <c r="Q25" s="5">
        <f t="shared" si="2"/>
        <v>32.25958333</v>
      </c>
      <c r="R25" s="9">
        <f t="shared" si="3"/>
        <v>967.7875</v>
      </c>
    </row>
    <row r="26">
      <c r="A26" s="39">
        <v>45603.0</v>
      </c>
      <c r="B26" s="4" t="s">
        <v>127</v>
      </c>
      <c r="C26" s="21">
        <v>8.1</v>
      </c>
      <c r="E26" s="19"/>
      <c r="F26" s="5"/>
      <c r="H26" s="19"/>
      <c r="N26" s="39">
        <v>45621.0</v>
      </c>
      <c r="O26" s="40">
        <f t="shared" si="4"/>
        <v>6.99</v>
      </c>
      <c r="P26" s="5">
        <f t="shared" si="5"/>
        <v>781.22</v>
      </c>
      <c r="Q26" s="5">
        <f t="shared" si="2"/>
        <v>31.2488</v>
      </c>
      <c r="R26" s="9">
        <f t="shared" si="3"/>
        <v>937.464</v>
      </c>
    </row>
    <row r="27">
      <c r="A27" s="39">
        <v>45604.0</v>
      </c>
      <c r="B27" s="4" t="s">
        <v>52</v>
      </c>
      <c r="C27" s="21">
        <v>4.0</v>
      </c>
      <c r="E27" s="19"/>
      <c r="F27" s="5"/>
      <c r="H27" s="19"/>
      <c r="N27" s="39">
        <v>45622.0</v>
      </c>
      <c r="O27" s="40">
        <f t="shared" si="4"/>
        <v>6.2</v>
      </c>
      <c r="P27" s="5">
        <f t="shared" si="5"/>
        <v>787.42</v>
      </c>
      <c r="Q27" s="5">
        <f t="shared" si="2"/>
        <v>30.28538462</v>
      </c>
      <c r="R27" s="9">
        <f t="shared" si="3"/>
        <v>908.5615385</v>
      </c>
    </row>
    <row r="28">
      <c r="A28" s="39">
        <v>45604.0</v>
      </c>
      <c r="B28" s="4" t="s">
        <v>140</v>
      </c>
      <c r="C28" s="21">
        <v>9.45</v>
      </c>
      <c r="E28" s="19"/>
      <c r="F28" s="5"/>
      <c r="H28" s="19"/>
      <c r="N28" s="39">
        <v>45623.0</v>
      </c>
      <c r="O28" s="40">
        <f t="shared" si="4"/>
        <v>54.2</v>
      </c>
      <c r="P28" s="5">
        <f t="shared" si="5"/>
        <v>841.62</v>
      </c>
      <c r="Q28" s="5">
        <f t="shared" si="2"/>
        <v>31.17111111</v>
      </c>
      <c r="R28" s="9">
        <f t="shared" si="3"/>
        <v>935.1333333</v>
      </c>
    </row>
    <row r="29">
      <c r="A29" s="39">
        <v>45604.0</v>
      </c>
      <c r="B29" s="4" t="s">
        <v>59</v>
      </c>
      <c r="C29" s="21">
        <v>4.35</v>
      </c>
      <c r="E29" s="19"/>
      <c r="F29" s="5"/>
      <c r="H29" s="19"/>
      <c r="N29" s="39">
        <v>45624.0</v>
      </c>
      <c r="O29" s="40">
        <f t="shared" si="4"/>
        <v>25.89</v>
      </c>
      <c r="P29" s="5">
        <f t="shared" si="5"/>
        <v>867.51</v>
      </c>
      <c r="Q29" s="5">
        <f t="shared" si="2"/>
        <v>30.9825</v>
      </c>
      <c r="R29" s="9">
        <f t="shared" si="3"/>
        <v>929.475</v>
      </c>
    </row>
    <row r="30">
      <c r="A30" s="39">
        <v>45604.0</v>
      </c>
      <c r="B30" s="4" t="s">
        <v>45</v>
      </c>
      <c r="C30" s="21">
        <f>6.3+12.6</f>
        <v>18.9</v>
      </c>
      <c r="E30" s="19"/>
      <c r="F30" s="5"/>
      <c r="H30" s="19"/>
      <c r="N30" s="39">
        <v>45625.0</v>
      </c>
      <c r="O30" s="40">
        <f t="shared" si="4"/>
        <v>48.1</v>
      </c>
      <c r="P30" s="5">
        <f t="shared" si="5"/>
        <v>915.61</v>
      </c>
      <c r="Q30" s="5">
        <f t="shared" si="2"/>
        <v>31.57275862</v>
      </c>
      <c r="R30" s="9">
        <f t="shared" si="3"/>
        <v>947.1827586</v>
      </c>
    </row>
    <row r="31">
      <c r="A31" s="39">
        <v>45604.0</v>
      </c>
      <c r="B31" s="4" t="s">
        <v>73</v>
      </c>
      <c r="C31" s="21">
        <v>11.93</v>
      </c>
      <c r="E31" s="19"/>
      <c r="F31" s="5"/>
      <c r="H31" s="19"/>
      <c r="N31" s="39">
        <v>45626.0</v>
      </c>
      <c r="O31" s="40">
        <f t="shared" si="4"/>
        <v>100.41</v>
      </c>
      <c r="P31" s="5">
        <f t="shared" si="5"/>
        <v>1016.02</v>
      </c>
      <c r="Q31" s="5">
        <f t="shared" si="2"/>
        <v>33.86733333</v>
      </c>
      <c r="R31" s="9">
        <f t="shared" si="3"/>
        <v>1016.02</v>
      </c>
    </row>
    <row r="32">
      <c r="A32" s="39">
        <v>45604.0</v>
      </c>
      <c r="B32" s="4" t="s">
        <v>84</v>
      </c>
      <c r="C32" s="21">
        <v>10.0</v>
      </c>
      <c r="E32" s="19"/>
      <c r="F32" s="5"/>
      <c r="H32" s="19"/>
      <c r="N32" s="39"/>
      <c r="Q32" s="5"/>
      <c r="R32" s="9"/>
    </row>
    <row r="33">
      <c r="A33" s="39">
        <v>45605.0</v>
      </c>
      <c r="B33" s="4" t="s">
        <v>52</v>
      </c>
      <c r="C33" s="21">
        <v>12.0</v>
      </c>
      <c r="E33" s="19"/>
      <c r="F33" s="5"/>
      <c r="H33" s="19"/>
      <c r="N33" s="39"/>
      <c r="Q33" s="5"/>
      <c r="R33" s="9"/>
    </row>
    <row r="34">
      <c r="A34" s="39">
        <v>45605.0</v>
      </c>
      <c r="B34" s="4" t="s">
        <v>127</v>
      </c>
      <c r="C34" s="21">
        <v>1.9</v>
      </c>
      <c r="E34" s="19"/>
      <c r="F34" s="5"/>
      <c r="H34" s="19"/>
      <c r="Q34" s="5"/>
      <c r="R34" s="9"/>
    </row>
    <row r="35">
      <c r="A35" s="39">
        <v>45607.0</v>
      </c>
      <c r="B35" s="4" t="s">
        <v>47</v>
      </c>
      <c r="C35" s="21">
        <v>10.0</v>
      </c>
      <c r="E35" s="19"/>
      <c r="F35" s="5"/>
      <c r="H35" s="19"/>
      <c r="Q35" s="5"/>
      <c r="R35" s="9"/>
    </row>
    <row r="36">
      <c r="A36" s="39">
        <v>45607.0</v>
      </c>
      <c r="B36" s="4" t="s">
        <v>210</v>
      </c>
      <c r="C36" s="21">
        <v>63.49</v>
      </c>
      <c r="E36" s="19"/>
      <c r="F36" s="5"/>
      <c r="H36" s="19"/>
      <c r="Q36" s="5"/>
      <c r="R36" s="9"/>
    </row>
    <row r="37">
      <c r="A37" s="39">
        <v>45608.0</v>
      </c>
      <c r="B37" s="4" t="s">
        <v>127</v>
      </c>
      <c r="C37" s="21">
        <v>5.6</v>
      </c>
      <c r="E37" s="19"/>
      <c r="F37" s="5"/>
      <c r="H37" s="19"/>
      <c r="Q37" s="5"/>
      <c r="R37" s="9"/>
    </row>
    <row r="38">
      <c r="A38" s="39">
        <v>45609.0</v>
      </c>
      <c r="B38" s="4" t="s">
        <v>53</v>
      </c>
      <c r="C38" s="21">
        <v>15.06</v>
      </c>
      <c r="E38" s="19"/>
      <c r="F38" s="5"/>
      <c r="H38" s="19"/>
      <c r="Q38" s="5"/>
      <c r="R38" s="9"/>
    </row>
    <row r="39">
      <c r="A39" s="39">
        <v>45609.0</v>
      </c>
      <c r="B39" s="4" t="s">
        <v>271</v>
      </c>
      <c r="C39" s="21">
        <v>16.0</v>
      </c>
      <c r="E39" s="19"/>
      <c r="F39" s="5"/>
      <c r="H39" s="19"/>
      <c r="Q39" s="5"/>
      <c r="R39" s="9"/>
    </row>
    <row r="40">
      <c r="A40" s="39">
        <v>45610.0</v>
      </c>
      <c r="B40" s="4" t="s">
        <v>57</v>
      </c>
      <c r="C40" s="21">
        <f>35.39-18</f>
        <v>17.39</v>
      </c>
      <c r="E40" s="19"/>
      <c r="F40" s="5"/>
      <c r="H40" s="19"/>
      <c r="Q40" s="5"/>
      <c r="R40" s="9"/>
    </row>
    <row r="41">
      <c r="A41" s="39">
        <v>45610.0</v>
      </c>
      <c r="B41" s="4" t="s">
        <v>140</v>
      </c>
      <c r="C41" s="21">
        <v>10.99</v>
      </c>
      <c r="E41" s="19"/>
      <c r="F41" s="5"/>
      <c r="H41" s="19"/>
      <c r="Q41" s="5"/>
      <c r="R41" s="9"/>
    </row>
    <row r="42">
      <c r="A42" s="39">
        <v>45610.0</v>
      </c>
      <c r="B42" s="4" t="s">
        <v>300</v>
      </c>
      <c r="C42" s="21">
        <v>7.5</v>
      </c>
      <c r="E42" s="19"/>
      <c r="F42" s="5"/>
      <c r="H42" s="19"/>
      <c r="Q42" s="5"/>
      <c r="R42" s="9"/>
    </row>
    <row r="43">
      <c r="A43" s="39">
        <v>45611.0</v>
      </c>
      <c r="B43" s="4" t="s">
        <v>47</v>
      </c>
      <c r="C43" s="21">
        <v>1.2</v>
      </c>
      <c r="E43" s="19"/>
      <c r="F43" s="5"/>
      <c r="H43" s="19"/>
      <c r="Q43" s="5"/>
      <c r="R43" s="9"/>
    </row>
    <row r="44">
      <c r="A44" s="39">
        <v>45611.0</v>
      </c>
      <c r="B44" s="4" t="s">
        <v>127</v>
      </c>
      <c r="C44" s="21">
        <v>6.8</v>
      </c>
      <c r="E44" s="19"/>
      <c r="F44" s="5"/>
      <c r="H44" s="19"/>
      <c r="Q44" s="5"/>
      <c r="R44" s="9"/>
    </row>
    <row r="45">
      <c r="A45" s="39">
        <v>45612.0</v>
      </c>
      <c r="B45" s="4" t="s">
        <v>47</v>
      </c>
      <c r="C45" s="21">
        <v>8.1</v>
      </c>
      <c r="E45" s="19"/>
      <c r="F45" s="5"/>
      <c r="H45" s="19"/>
      <c r="Q45" s="5"/>
      <c r="R45" s="9"/>
    </row>
    <row r="46">
      <c r="A46" s="39">
        <v>45612.0</v>
      </c>
      <c r="B46" s="4" t="s">
        <v>45</v>
      </c>
      <c r="C46" s="21">
        <v>14.05</v>
      </c>
      <c r="E46" s="19"/>
      <c r="F46" s="5"/>
      <c r="H46" s="19"/>
      <c r="Q46" s="5"/>
      <c r="R46" s="9"/>
    </row>
    <row r="47">
      <c r="A47" s="39">
        <v>45612.0</v>
      </c>
      <c r="B47" s="4" t="s">
        <v>64</v>
      </c>
      <c r="C47" s="21">
        <v>129.9</v>
      </c>
      <c r="E47" s="19"/>
      <c r="F47" s="5"/>
      <c r="H47" s="19"/>
      <c r="Q47" s="5"/>
      <c r="R47" s="9"/>
    </row>
    <row r="48">
      <c r="A48" s="39">
        <v>45613.0</v>
      </c>
      <c r="B48" s="4" t="s">
        <v>127</v>
      </c>
      <c r="C48" s="21">
        <v>8.5</v>
      </c>
      <c r="E48" s="19"/>
      <c r="F48" s="5"/>
      <c r="H48" s="19"/>
      <c r="Q48" s="5"/>
      <c r="R48" s="9"/>
    </row>
    <row r="49">
      <c r="A49" s="39">
        <v>45613.0</v>
      </c>
      <c r="B49" s="4" t="s">
        <v>52</v>
      </c>
      <c r="C49" s="21">
        <v>15.69</v>
      </c>
      <c r="E49" s="19"/>
      <c r="F49" s="5"/>
      <c r="H49" s="19"/>
      <c r="Q49" s="5"/>
      <c r="R49" s="9"/>
    </row>
    <row r="50">
      <c r="A50" s="39">
        <v>45614.0</v>
      </c>
      <c r="B50" s="4" t="s">
        <v>127</v>
      </c>
      <c r="C50" s="4">
        <v>2.8</v>
      </c>
      <c r="E50" s="19"/>
      <c r="F50" s="5"/>
      <c r="H50" s="19"/>
      <c r="Q50" s="5"/>
      <c r="R50" s="9"/>
    </row>
    <row r="51">
      <c r="A51" s="39">
        <v>45614.0</v>
      </c>
      <c r="B51" s="4" t="s">
        <v>64</v>
      </c>
      <c r="C51" s="21">
        <v>19.27</v>
      </c>
      <c r="E51" s="19"/>
      <c r="F51" s="5"/>
      <c r="H51" s="19"/>
      <c r="Q51" s="5"/>
      <c r="R51" s="9"/>
    </row>
    <row r="52">
      <c r="A52" s="39">
        <v>45614.0</v>
      </c>
      <c r="B52" s="4" t="s">
        <v>53</v>
      </c>
      <c r="C52" s="21">
        <v>10.37</v>
      </c>
      <c r="E52" s="19"/>
      <c r="F52" s="5"/>
      <c r="H52" s="19"/>
      <c r="Q52" s="5"/>
      <c r="R52" s="9"/>
    </row>
    <row r="53">
      <c r="A53" s="39">
        <v>45615.0</v>
      </c>
      <c r="B53" s="4" t="s">
        <v>47</v>
      </c>
      <c r="C53" s="21">
        <v>1.65</v>
      </c>
      <c r="E53" s="19"/>
      <c r="F53" s="5"/>
      <c r="H53" s="19"/>
      <c r="Q53" s="5"/>
      <c r="R53" s="9"/>
    </row>
    <row r="54">
      <c r="A54" s="39">
        <v>45615.0</v>
      </c>
      <c r="B54" s="4" t="s">
        <v>62</v>
      </c>
      <c r="C54" s="21">
        <v>11.06</v>
      </c>
      <c r="E54" s="19"/>
      <c r="F54" s="5"/>
      <c r="H54" s="19"/>
      <c r="Q54" s="5"/>
      <c r="R54" s="9"/>
    </row>
    <row r="55">
      <c r="A55" s="39">
        <v>45616.0</v>
      </c>
      <c r="B55" s="4" t="s">
        <v>53</v>
      </c>
      <c r="C55" s="21">
        <v>5.71</v>
      </c>
      <c r="E55" s="19"/>
      <c r="F55" s="5"/>
      <c r="H55" s="19"/>
      <c r="Q55" s="5"/>
      <c r="R55" s="9"/>
    </row>
    <row r="56">
      <c r="A56" s="39">
        <v>45617.0</v>
      </c>
      <c r="B56" s="4" t="s">
        <v>140</v>
      </c>
      <c r="C56" s="21">
        <v>12.5</v>
      </c>
      <c r="E56" s="19"/>
      <c r="F56" s="5"/>
      <c r="H56" s="19"/>
      <c r="Q56" s="5"/>
      <c r="R56" s="9"/>
    </row>
    <row r="57">
      <c r="A57" s="39">
        <v>45617.0</v>
      </c>
      <c r="B57" s="4" t="s">
        <v>76</v>
      </c>
      <c r="C57" s="43">
        <v>3.8</v>
      </c>
      <c r="E57" s="19"/>
      <c r="F57" s="5"/>
      <c r="H57" s="19"/>
      <c r="Q57" s="5"/>
      <c r="R57" s="9"/>
    </row>
    <row r="58">
      <c r="A58" s="39">
        <v>45617.0</v>
      </c>
      <c r="B58" s="4" t="s">
        <v>62</v>
      </c>
      <c r="C58" s="21">
        <v>0.8</v>
      </c>
      <c r="E58" s="19"/>
      <c r="F58" s="5"/>
      <c r="H58" s="19"/>
      <c r="Q58" s="5"/>
      <c r="R58" s="9"/>
    </row>
    <row r="59">
      <c r="A59" s="39">
        <v>45617.0</v>
      </c>
      <c r="B59" s="4" t="s">
        <v>301</v>
      </c>
      <c r="C59" s="21">
        <v>6.0</v>
      </c>
      <c r="E59" s="19"/>
      <c r="F59" s="5"/>
      <c r="H59" s="19"/>
      <c r="Q59" s="5"/>
      <c r="R59" s="9"/>
    </row>
    <row r="60">
      <c r="A60" s="39">
        <v>45617.0</v>
      </c>
      <c r="B60" s="4" t="s">
        <v>62</v>
      </c>
      <c r="C60" s="21">
        <v>5.75</v>
      </c>
      <c r="E60" s="19"/>
      <c r="F60" s="5"/>
      <c r="H60" s="19"/>
      <c r="Q60" s="5"/>
      <c r="R60" s="9"/>
    </row>
    <row r="61">
      <c r="A61" s="39">
        <v>45618.0</v>
      </c>
      <c r="B61" s="4" t="s">
        <v>110</v>
      </c>
      <c r="C61" s="21">
        <v>24.0</v>
      </c>
      <c r="E61" s="19"/>
      <c r="F61" s="5"/>
      <c r="H61" s="19"/>
      <c r="Q61" s="5"/>
      <c r="R61" s="9"/>
    </row>
    <row r="62">
      <c r="A62" s="39">
        <v>45618.0</v>
      </c>
      <c r="B62" s="4" t="s">
        <v>62</v>
      </c>
      <c r="C62" s="21">
        <v>11.5</v>
      </c>
      <c r="E62" s="19"/>
      <c r="F62" s="5"/>
      <c r="H62" s="19"/>
      <c r="Q62" s="5"/>
      <c r="R62" s="9"/>
    </row>
    <row r="63">
      <c r="A63" s="39">
        <v>45618.0</v>
      </c>
      <c r="B63" s="4" t="s">
        <v>127</v>
      </c>
      <c r="C63" s="21">
        <v>6.8</v>
      </c>
      <c r="E63" s="19"/>
      <c r="F63" s="5"/>
      <c r="H63" s="19"/>
      <c r="Q63" s="5"/>
      <c r="R63" s="9"/>
    </row>
    <row r="64">
      <c r="A64" s="39">
        <v>45619.0</v>
      </c>
      <c r="B64" s="4" t="s">
        <v>53</v>
      </c>
      <c r="C64" s="21">
        <v>11.4</v>
      </c>
      <c r="E64" s="19"/>
      <c r="F64" s="5"/>
      <c r="H64" s="19"/>
      <c r="Q64" s="5"/>
      <c r="R64" s="9"/>
    </row>
    <row r="65">
      <c r="A65" s="39">
        <v>45619.0</v>
      </c>
      <c r="B65" s="4" t="s">
        <v>47</v>
      </c>
      <c r="C65" s="21">
        <v>1.2</v>
      </c>
      <c r="E65" s="19"/>
      <c r="F65" s="5"/>
      <c r="H65" s="19"/>
      <c r="Q65" s="5"/>
      <c r="R65" s="9"/>
    </row>
    <row r="66">
      <c r="A66" s="39">
        <v>45619.0</v>
      </c>
      <c r="B66" s="4" t="s">
        <v>230</v>
      </c>
      <c r="C66" s="21">
        <v>9.99</v>
      </c>
      <c r="E66" s="19"/>
      <c r="F66" s="5"/>
      <c r="H66" s="19"/>
      <c r="Q66" s="5"/>
      <c r="R66" s="9"/>
    </row>
    <row r="67">
      <c r="A67" s="39">
        <v>45620.0</v>
      </c>
      <c r="B67" s="4" t="s">
        <v>47</v>
      </c>
      <c r="C67" s="4">
        <v>1.7</v>
      </c>
      <c r="E67" s="19"/>
      <c r="F67" s="5"/>
      <c r="H67" s="19"/>
      <c r="Q67" s="5"/>
      <c r="R67" s="9"/>
    </row>
    <row r="68">
      <c r="A68" s="39">
        <v>45620.0</v>
      </c>
      <c r="B68" s="4" t="s">
        <v>47</v>
      </c>
      <c r="C68" s="21">
        <f>3.4-2.5</f>
        <v>0.9</v>
      </c>
      <c r="E68" s="19"/>
      <c r="F68" s="5"/>
      <c r="H68" s="19"/>
      <c r="Q68" s="5"/>
      <c r="R68" s="9"/>
    </row>
    <row r="69">
      <c r="A69" s="39">
        <v>45620.0</v>
      </c>
      <c r="B69" s="4" t="s">
        <v>302</v>
      </c>
      <c r="C69" s="21">
        <v>22.51</v>
      </c>
      <c r="E69" s="19"/>
      <c r="F69" s="5"/>
      <c r="H69" s="19"/>
      <c r="Q69" s="5"/>
      <c r="R69" s="9"/>
    </row>
    <row r="70">
      <c r="A70" s="39">
        <v>45621.0</v>
      </c>
      <c r="B70" s="4" t="s">
        <v>47</v>
      </c>
      <c r="C70" s="21">
        <v>6.99</v>
      </c>
      <c r="E70" s="19"/>
      <c r="F70" s="5"/>
      <c r="H70" s="19"/>
      <c r="Q70" s="5"/>
      <c r="R70" s="9"/>
    </row>
    <row r="71">
      <c r="A71" s="39">
        <v>45622.0</v>
      </c>
      <c r="B71" s="4" t="s">
        <v>47</v>
      </c>
      <c r="C71" s="21">
        <v>1.2</v>
      </c>
      <c r="E71" s="19"/>
      <c r="F71" s="5"/>
      <c r="H71" s="19"/>
      <c r="Q71" s="5"/>
      <c r="R71" s="9"/>
    </row>
    <row r="72">
      <c r="A72" s="39">
        <v>45622.0</v>
      </c>
      <c r="B72" s="4" t="s">
        <v>62</v>
      </c>
      <c r="C72" s="21">
        <v>5.0</v>
      </c>
      <c r="E72" s="19"/>
      <c r="F72" s="5"/>
      <c r="H72" s="19"/>
      <c r="Q72" s="5"/>
      <c r="R72" s="9"/>
    </row>
    <row r="73">
      <c r="A73" s="39">
        <v>45623.0</v>
      </c>
      <c r="B73" s="4" t="s">
        <v>140</v>
      </c>
      <c r="C73" s="21">
        <v>11.55</v>
      </c>
      <c r="E73" s="19"/>
      <c r="F73" s="5"/>
      <c r="H73" s="19"/>
      <c r="Q73" s="5"/>
      <c r="R73" s="9"/>
    </row>
    <row r="74">
      <c r="A74" s="39">
        <v>45623.0</v>
      </c>
      <c r="B74" s="4" t="s">
        <v>62</v>
      </c>
      <c r="C74" s="21">
        <v>0.8</v>
      </c>
      <c r="E74" s="19"/>
      <c r="F74" s="5"/>
      <c r="H74" s="19"/>
      <c r="Q74" s="5"/>
      <c r="R74" s="9"/>
    </row>
    <row r="75">
      <c r="A75" s="39">
        <v>45623.0</v>
      </c>
      <c r="B75" s="4" t="s">
        <v>45</v>
      </c>
      <c r="C75" s="21">
        <f>7.2+19.9</f>
        <v>27.1</v>
      </c>
      <c r="E75" s="19"/>
      <c r="F75" s="5"/>
      <c r="H75" s="19"/>
      <c r="Q75" s="5"/>
      <c r="R75" s="9"/>
    </row>
    <row r="76">
      <c r="A76" s="39">
        <v>45623.0</v>
      </c>
      <c r="B76" s="4" t="s">
        <v>210</v>
      </c>
      <c r="C76" s="21">
        <v>14.75</v>
      </c>
      <c r="E76" s="19"/>
      <c r="F76" s="5"/>
      <c r="H76" s="19"/>
      <c r="Q76" s="5"/>
      <c r="R76" s="9"/>
    </row>
    <row r="77">
      <c r="A77" s="39">
        <v>45624.0</v>
      </c>
      <c r="B77" s="4" t="s">
        <v>127</v>
      </c>
      <c r="C77" s="21">
        <v>8.5</v>
      </c>
      <c r="E77" s="19"/>
      <c r="F77" s="5"/>
      <c r="H77" s="19"/>
      <c r="Q77" s="5"/>
      <c r="R77" s="9"/>
    </row>
    <row r="78">
      <c r="A78" s="39">
        <v>45624.0</v>
      </c>
      <c r="B78" s="4" t="s">
        <v>62</v>
      </c>
      <c r="C78" s="21">
        <v>17.39</v>
      </c>
      <c r="E78" s="19"/>
      <c r="F78" s="5"/>
      <c r="H78" s="19"/>
      <c r="Q78" s="5"/>
      <c r="R78" s="9"/>
    </row>
    <row r="79">
      <c r="A79" s="39">
        <v>45625.0</v>
      </c>
      <c r="B79" s="4" t="s">
        <v>59</v>
      </c>
      <c r="C79" s="21">
        <v>22.9</v>
      </c>
      <c r="E79" s="19"/>
      <c r="F79" s="5"/>
      <c r="H79" s="19"/>
      <c r="Q79" s="5"/>
      <c r="R79" s="9"/>
    </row>
    <row r="80">
      <c r="A80" s="39">
        <v>45625.0</v>
      </c>
      <c r="B80" s="4" t="s">
        <v>45</v>
      </c>
      <c r="C80" s="21">
        <v>10.0</v>
      </c>
      <c r="E80" s="19"/>
      <c r="F80" s="5"/>
      <c r="H80" s="19"/>
      <c r="Q80" s="5"/>
      <c r="R80" s="9"/>
    </row>
    <row r="81">
      <c r="A81" s="39">
        <v>45625.0</v>
      </c>
      <c r="B81" s="4" t="s">
        <v>45</v>
      </c>
      <c r="C81" s="21">
        <v>5.2</v>
      </c>
      <c r="E81" s="19"/>
      <c r="F81" s="5"/>
      <c r="H81" s="19"/>
      <c r="Q81" s="5"/>
      <c r="R81" s="9"/>
    </row>
    <row r="82">
      <c r="A82" s="39">
        <v>45625.0</v>
      </c>
      <c r="B82" s="4" t="s">
        <v>84</v>
      </c>
      <c r="C82" s="21">
        <v>10.0</v>
      </c>
      <c r="E82" s="19"/>
      <c r="F82" s="5"/>
      <c r="H82" s="19"/>
      <c r="Q82" s="5"/>
      <c r="R82" s="9"/>
    </row>
    <row r="83">
      <c r="A83" s="39">
        <v>45626.0</v>
      </c>
      <c r="B83" s="4" t="s">
        <v>230</v>
      </c>
      <c r="C83" s="21">
        <v>83.99</v>
      </c>
      <c r="E83" s="19"/>
      <c r="F83" s="5"/>
      <c r="H83" s="19"/>
      <c r="Q83" s="5"/>
      <c r="R83" s="9"/>
    </row>
    <row r="84">
      <c r="A84" s="39">
        <v>45626.0</v>
      </c>
      <c r="B84" s="4" t="s">
        <v>52</v>
      </c>
      <c r="C84" s="21">
        <v>16.42</v>
      </c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44"/>
      <c r="C99" s="5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39"/>
      <c r="C998" s="5"/>
      <c r="E998" s="19"/>
      <c r="F998" s="5"/>
      <c r="H998" s="19"/>
      <c r="Q998" s="5"/>
      <c r="R998" s="9"/>
    </row>
  </sheetData>
  <conditionalFormatting sqref="V2">
    <cfRule type="cellIs" dxfId="2" priority="1" operator="greaterThan">
      <formula>0</formula>
    </cfRule>
  </conditionalFormatting>
  <conditionalFormatting sqref="V2">
    <cfRule type="cellIs" dxfId="3" priority="2" operator="lessThan">
      <formula>0</formula>
    </cfRule>
  </conditionalFormatting>
  <conditionalFormatting sqref="N1 N33:N998">
    <cfRule type="timePeriod" dxfId="4" priority="3" timePeriod="today"/>
  </conditionalFormatting>
  <conditionalFormatting sqref="N1 N33:N998">
    <cfRule type="timePeriod" dxfId="5" priority="4" timePeriod="today"/>
  </conditionalFormatting>
  <conditionalFormatting sqref="O1:O998 Q1:Q998">
    <cfRule type="cellIs" dxfId="0" priority="5" operator="lessThan">
      <formula>25</formula>
    </cfRule>
  </conditionalFormatting>
  <conditionalFormatting sqref="O1:O998 Q1:Q998">
    <cfRule type="cellIs" dxfId="6" priority="6" operator="lessThan">
      <formula>35</formula>
    </cfRule>
  </conditionalFormatting>
  <conditionalFormatting sqref="O1:O998 Q1:Q998">
    <cfRule type="cellIs" dxfId="1" priority="7" operator="greaterThanOrEqual">
      <formula>35</formula>
    </cfRule>
  </conditionalFormatting>
  <conditionalFormatting sqref="I1">
    <cfRule type="cellIs" dxfId="1" priority="8" operator="lessThan">
      <formula>0</formula>
    </cfRule>
  </conditionalFormatting>
  <conditionalFormatting sqref="I1">
    <cfRule type="cellIs" dxfId="0" priority="9" operator="greaterThan">
      <formula>0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124.25</v>
      </c>
      <c r="H1" s="1" t="s">
        <v>46</v>
      </c>
      <c r="I1" s="5">
        <f>I6-I7</f>
        <v>88.44</v>
      </c>
      <c r="J1" s="19"/>
      <c r="K1" s="1" t="s">
        <v>47</v>
      </c>
      <c r="L1" s="5">
        <f t="shared" ref="L1:L5" si="1">SUMIF(B:B,K1,C:I)</f>
        <v>85.81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" t="s">
        <v>233</v>
      </c>
      <c r="U1" s="1" t="s">
        <v>234</v>
      </c>
      <c r="V1" s="1" t="s">
        <v>235</v>
      </c>
      <c r="W1" s="19"/>
      <c r="X1" s="19"/>
      <c r="Y1" s="19"/>
      <c r="Z1" s="19"/>
    </row>
    <row r="2">
      <c r="A2" s="39">
        <v>45566.0</v>
      </c>
      <c r="B2" s="4" t="s">
        <v>8</v>
      </c>
      <c r="C2" s="21">
        <v>350.0</v>
      </c>
      <c r="E2" s="1" t="s">
        <v>52</v>
      </c>
      <c r="F2" s="5">
        <f>SUMIF(B:B,"Deliveroo",C:C)+SUMIF(B:B,"Just eat",C:C)+SUMIF(B:B,"Uber eats",C:C)+SUMIF(B:B,E2,C:C)</f>
        <v>49.8</v>
      </c>
      <c r="H2" s="1" t="s">
        <v>6</v>
      </c>
      <c r="I2" s="5">
        <f>SUMIF(B:B,H2,C:C)</f>
        <v>400</v>
      </c>
      <c r="K2" s="1" t="s">
        <v>53</v>
      </c>
      <c r="L2" s="5">
        <f t="shared" si="1"/>
        <v>0</v>
      </c>
      <c r="N2" s="39">
        <v>45566.0</v>
      </c>
      <c r="O2" s="5">
        <f>sumif(A:A,N2,C:C)-sum(C2:C7)</f>
        <v>83.99</v>
      </c>
      <c r="P2" s="5">
        <f>SUM(O2)</f>
        <v>83.99</v>
      </c>
      <c r="Q2" s="5">
        <f t="shared" ref="Q2:Q32" si="2">P2/(ROW()-1)</f>
        <v>83.99</v>
      </c>
      <c r="R2" s="9">
        <f t="shared" ref="R2:R32" si="3">count(N:N)*Q2</f>
        <v>2603.69</v>
      </c>
      <c r="T2" s="9" t="str">
        <f>IFERROR(__xludf.DUMMYFUNCTION("(I1+(FILTER(O:O,N:N=TODAY()-1)))/(COUNTIF(N:N, ""&gt;="" &amp; TODAY())+1)"),"#N/A")</f>
        <v>#N/A</v>
      </c>
      <c r="U2" s="9" t="str">
        <f>I1/COUNTIF(N:N, "&gt;=" &amp; TODAY())</f>
        <v>#DIV/0!</v>
      </c>
      <c r="V2" s="40" t="str">
        <f>U2-T2</f>
        <v>#DIV/0!</v>
      </c>
    </row>
    <row r="3">
      <c r="A3" s="39">
        <v>45566.0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4.99</v>
      </c>
      <c r="H3" s="1" t="s">
        <v>8</v>
      </c>
      <c r="I3" s="5">
        <f>SUMIF(B:B,H3,C:C)+I1</f>
        <v>438.44</v>
      </c>
      <c r="K3" s="1" t="s">
        <v>56</v>
      </c>
      <c r="L3" s="5">
        <f t="shared" si="1"/>
        <v>0</v>
      </c>
      <c r="N3" s="39">
        <v>45567.0</v>
      </c>
      <c r="O3" s="40">
        <f t="shared" ref="O3:O32" si="4">sumif(A:A,N3,C:C)</f>
        <v>26.99</v>
      </c>
      <c r="P3" s="5">
        <f t="shared" ref="P3:P32" si="5">P2+O3</f>
        <v>110.98</v>
      </c>
      <c r="Q3" s="5">
        <f t="shared" si="2"/>
        <v>55.49</v>
      </c>
      <c r="R3" s="9">
        <f t="shared" si="3"/>
        <v>1720.19</v>
      </c>
    </row>
    <row r="4">
      <c r="A4" s="39">
        <v>45566.0</v>
      </c>
      <c r="B4" s="4" t="s">
        <v>6</v>
      </c>
      <c r="C4" s="21">
        <v>400.0</v>
      </c>
      <c r="E4" s="1" t="s">
        <v>140</v>
      </c>
      <c r="F4" s="5">
        <f t="shared" ref="F4:F5" si="6">SUMIF(B:B,E4,C:C)</f>
        <v>17.94</v>
      </c>
      <c r="H4" s="1" t="s">
        <v>58</v>
      </c>
      <c r="I4" s="5">
        <f>I2+I3</f>
        <v>838.44</v>
      </c>
      <c r="K4" s="1" t="s">
        <v>59</v>
      </c>
      <c r="L4" s="5">
        <f t="shared" si="1"/>
        <v>69.87</v>
      </c>
      <c r="N4" s="39">
        <v>45568.0</v>
      </c>
      <c r="O4" s="40">
        <f t="shared" si="4"/>
        <v>55.44</v>
      </c>
      <c r="P4" s="5">
        <f t="shared" si="5"/>
        <v>166.42</v>
      </c>
      <c r="Q4" s="5">
        <f t="shared" si="2"/>
        <v>55.47333333</v>
      </c>
      <c r="R4" s="9">
        <f t="shared" si="3"/>
        <v>1719.673333</v>
      </c>
    </row>
    <row r="5">
      <c r="A5" s="39">
        <v>45566.0</v>
      </c>
      <c r="B5" s="4" t="s">
        <v>252</v>
      </c>
      <c r="C5" s="21">
        <v>9.0</v>
      </c>
      <c r="E5" s="1" t="s">
        <v>210</v>
      </c>
      <c r="F5" s="5">
        <f t="shared" si="6"/>
        <v>8.99</v>
      </c>
      <c r="K5" s="1" t="s">
        <v>62</v>
      </c>
      <c r="L5" s="5">
        <f t="shared" si="1"/>
        <v>45.29</v>
      </c>
      <c r="N5" s="39">
        <v>45569.0</v>
      </c>
      <c r="O5" s="40">
        <f t="shared" si="4"/>
        <v>33.8</v>
      </c>
      <c r="P5" s="5">
        <f t="shared" si="5"/>
        <v>200.22</v>
      </c>
      <c r="Q5" s="5">
        <f t="shared" si="2"/>
        <v>50.055</v>
      </c>
      <c r="R5" s="9">
        <f t="shared" si="3"/>
        <v>1551.705</v>
      </c>
    </row>
    <row r="6">
      <c r="A6" s="39">
        <v>45566.0</v>
      </c>
      <c r="B6" s="4" t="s">
        <v>253</v>
      </c>
      <c r="C6" s="4">
        <v>80.98</v>
      </c>
      <c r="E6" s="1" t="s">
        <v>57</v>
      </c>
      <c r="F6" s="5">
        <f>sum(L:L)+sumif(B:B,"Groceries",C:C)</f>
        <v>231.2</v>
      </c>
      <c r="H6" s="1" t="s">
        <v>65</v>
      </c>
      <c r="I6" s="21">
        <v>2988.17</v>
      </c>
      <c r="N6" s="39">
        <v>45570.0</v>
      </c>
      <c r="O6" s="40">
        <f t="shared" si="4"/>
        <v>94.77</v>
      </c>
      <c r="P6" s="5">
        <f t="shared" si="5"/>
        <v>294.99</v>
      </c>
      <c r="Q6" s="5">
        <f t="shared" si="2"/>
        <v>58.998</v>
      </c>
      <c r="R6" s="9">
        <f t="shared" si="3"/>
        <v>1828.938</v>
      </c>
    </row>
    <row r="7">
      <c r="A7" s="39">
        <v>45566.0</v>
      </c>
      <c r="B7" s="4" t="s">
        <v>254</v>
      </c>
      <c r="C7" s="21">
        <f>99/12</f>
        <v>8.25</v>
      </c>
      <c r="E7" s="42" t="s">
        <v>61</v>
      </c>
      <c r="F7" s="5">
        <f>SUMIF(B:B,"Games",C:C)+SUMIF(B:B,"Spotify",C:C)+SUMIF(B:B,"Streaming",C:C)+SUMIF(B:B,"Book",C:C)+SUMIF(B:B,"Audible",C:C)+SUMIF(B:B,"Cinema",C:C)+SUMIF(B:B,"Theatre",C:C)</f>
        <v>68.7</v>
      </c>
      <c r="H7" s="1" t="s">
        <v>68</v>
      </c>
      <c r="I7" s="5">
        <f>sum(C:C)</f>
        <v>2899.73</v>
      </c>
      <c r="N7" s="39">
        <v>45571.0</v>
      </c>
      <c r="O7" s="40">
        <f t="shared" si="4"/>
        <v>27.1</v>
      </c>
      <c r="P7" s="5">
        <f t="shared" si="5"/>
        <v>322.09</v>
      </c>
      <c r="Q7" s="5">
        <f t="shared" si="2"/>
        <v>53.68166667</v>
      </c>
      <c r="R7" s="9">
        <f t="shared" si="3"/>
        <v>1664.131667</v>
      </c>
    </row>
    <row r="8">
      <c r="A8" s="39">
        <v>45566.0</v>
      </c>
      <c r="B8" s="4" t="s">
        <v>303</v>
      </c>
      <c r="C8" s="21">
        <v>83.99</v>
      </c>
      <c r="E8" s="1" t="s">
        <v>64</v>
      </c>
      <c r="F8" s="5">
        <f>SUMIF(B:B,E8,C:C)+SUMIF(B:B,"Shoes",C:C)</f>
        <v>40.77</v>
      </c>
      <c r="H8" s="1" t="s">
        <v>72</v>
      </c>
      <c r="I8" s="5">
        <f>sum(F:F)+I2+C2</f>
        <v>2751.47</v>
      </c>
      <c r="N8" s="39">
        <v>45572.0</v>
      </c>
      <c r="O8" s="40">
        <f t="shared" si="4"/>
        <v>21.98</v>
      </c>
      <c r="P8" s="5">
        <f t="shared" si="5"/>
        <v>344.07</v>
      </c>
      <c r="Q8" s="5">
        <f t="shared" si="2"/>
        <v>49.15285714</v>
      </c>
      <c r="R8" s="9">
        <f t="shared" si="3"/>
        <v>1523.738571</v>
      </c>
    </row>
    <row r="9">
      <c r="A9" s="39">
        <v>45567.0</v>
      </c>
      <c r="B9" s="4" t="s">
        <v>119</v>
      </c>
      <c r="C9" s="21">
        <v>12.99</v>
      </c>
      <c r="E9" s="1" t="s">
        <v>54</v>
      </c>
      <c r="F9" s="5">
        <f>SUMIF(B:B,E9,C:C)+SUMIF(B:B,"Phone",C:C)</f>
        <v>1114</v>
      </c>
      <c r="H9" s="1" t="s">
        <v>74</v>
      </c>
      <c r="I9" s="5">
        <f>I7-I8</f>
        <v>148.26</v>
      </c>
      <c r="N9" s="39">
        <v>45573.0</v>
      </c>
      <c r="O9" s="40">
        <f t="shared" si="4"/>
        <v>30.2</v>
      </c>
      <c r="P9" s="5">
        <f t="shared" si="5"/>
        <v>374.27</v>
      </c>
      <c r="Q9" s="5">
        <f t="shared" si="2"/>
        <v>46.78375</v>
      </c>
      <c r="R9" s="9">
        <f t="shared" si="3"/>
        <v>1450.29625</v>
      </c>
    </row>
    <row r="10">
      <c r="A10" s="39">
        <v>45567.0</v>
      </c>
      <c r="B10" s="4" t="s">
        <v>62</v>
      </c>
      <c r="C10" s="21">
        <v>11.75</v>
      </c>
      <c r="E10" s="1" t="s">
        <v>127</v>
      </c>
      <c r="F10" s="5">
        <f>SUMIF(B:B,E10,C:C)</f>
        <v>49.85</v>
      </c>
      <c r="N10" s="39">
        <v>45574.0</v>
      </c>
      <c r="O10" s="40">
        <f t="shared" si="4"/>
        <v>12.42</v>
      </c>
      <c r="P10" s="5">
        <f t="shared" si="5"/>
        <v>386.69</v>
      </c>
      <c r="Q10" s="5">
        <f t="shared" si="2"/>
        <v>42.96555556</v>
      </c>
      <c r="R10" s="9">
        <f t="shared" si="3"/>
        <v>1331.932222</v>
      </c>
    </row>
    <row r="11">
      <c r="A11" s="39">
        <v>45567.0</v>
      </c>
      <c r="B11" s="4" t="s">
        <v>47</v>
      </c>
      <c r="C11" s="21">
        <v>2.25</v>
      </c>
      <c r="E11" s="1" t="s">
        <v>73</v>
      </c>
      <c r="F11" s="5">
        <f>SUMIF(B:B,"Uber",C:C)</f>
        <v>26.53</v>
      </c>
      <c r="H11" s="1" t="s">
        <v>3</v>
      </c>
      <c r="I11" s="28">
        <f>I4/I6</f>
        <v>0.2805864459</v>
      </c>
      <c r="N11" s="39">
        <v>45575.0</v>
      </c>
      <c r="O11" s="40">
        <f t="shared" si="4"/>
        <v>69.8</v>
      </c>
      <c r="P11" s="5">
        <f t="shared" si="5"/>
        <v>456.49</v>
      </c>
      <c r="Q11" s="5">
        <f t="shared" si="2"/>
        <v>45.649</v>
      </c>
      <c r="R11" s="9">
        <f t="shared" si="3"/>
        <v>1415.119</v>
      </c>
    </row>
    <row r="12">
      <c r="A12" s="39">
        <v>45568.0</v>
      </c>
      <c r="B12" s="4" t="s">
        <v>304</v>
      </c>
      <c r="C12" s="21">
        <v>14.99</v>
      </c>
      <c r="E12" s="1" t="s">
        <v>75</v>
      </c>
      <c r="F12" s="9">
        <f>SUMIF(B:B,"Gym",C:C)+SUMIF(B:B,"Climbing",C:C)+SUMIF(B:B,"Tennis",C:C)</f>
        <v>80.98</v>
      </c>
      <c r="N12" s="39">
        <v>45576.0</v>
      </c>
      <c r="O12" s="40">
        <f t="shared" si="4"/>
        <v>13.15</v>
      </c>
      <c r="P12" s="5">
        <f t="shared" si="5"/>
        <v>469.64</v>
      </c>
      <c r="Q12" s="5">
        <f t="shared" si="2"/>
        <v>42.69454545</v>
      </c>
      <c r="R12" s="9">
        <f t="shared" si="3"/>
        <v>1323.530909</v>
      </c>
    </row>
    <row r="13">
      <c r="A13" s="39">
        <v>45568.0</v>
      </c>
      <c r="B13" s="4" t="s">
        <v>259</v>
      </c>
      <c r="C13" s="5">
        <f>88.5/3</f>
        <v>29.5</v>
      </c>
      <c r="E13" s="1" t="s">
        <v>76</v>
      </c>
      <c r="F13" s="5">
        <f>SUMIF(B:B,"Coffee",C:C)</f>
        <v>7.5</v>
      </c>
      <c r="N13" s="39">
        <v>45577.0</v>
      </c>
      <c r="O13" s="40">
        <f t="shared" si="4"/>
        <v>11.44</v>
      </c>
      <c r="P13" s="5">
        <f t="shared" si="5"/>
        <v>481.08</v>
      </c>
      <c r="Q13" s="5">
        <f t="shared" si="2"/>
        <v>40.09</v>
      </c>
      <c r="R13" s="9">
        <f t="shared" si="3"/>
        <v>1242.79</v>
      </c>
    </row>
    <row r="14">
      <c r="A14" s="39">
        <v>45568.0</v>
      </c>
      <c r="B14" s="4" t="s">
        <v>47</v>
      </c>
      <c r="C14" s="21">
        <v>4.15</v>
      </c>
      <c r="E14" s="1" t="s">
        <v>77</v>
      </c>
      <c r="F14" s="5">
        <f>C8+C73</f>
        <v>175.97</v>
      </c>
      <c r="H14" s="19"/>
      <c r="N14" s="39">
        <v>45578.0</v>
      </c>
      <c r="O14" s="40">
        <f t="shared" si="4"/>
        <v>18.32</v>
      </c>
      <c r="P14" s="5">
        <f t="shared" si="5"/>
        <v>499.4</v>
      </c>
      <c r="Q14" s="5">
        <f t="shared" si="2"/>
        <v>38.41538462</v>
      </c>
      <c r="R14" s="9">
        <f t="shared" si="3"/>
        <v>1190.876923</v>
      </c>
    </row>
    <row r="15">
      <c r="A15" s="39">
        <v>45568.0</v>
      </c>
      <c r="B15" s="4" t="s">
        <v>127</v>
      </c>
      <c r="C15" s="21">
        <v>6.8</v>
      </c>
      <c r="E15" s="1"/>
      <c r="H15" s="1" t="s">
        <v>55</v>
      </c>
      <c r="I15" s="5">
        <f>sum(F2:F5)+F13</f>
        <v>89.22</v>
      </c>
      <c r="N15" s="39">
        <v>45579.0</v>
      </c>
      <c r="O15" s="40">
        <f t="shared" si="4"/>
        <v>6.1</v>
      </c>
      <c r="P15" s="5">
        <f t="shared" si="5"/>
        <v>505.5</v>
      </c>
      <c r="Q15" s="5">
        <f t="shared" si="2"/>
        <v>36.10714286</v>
      </c>
      <c r="R15" s="9">
        <f t="shared" si="3"/>
        <v>1119.321429</v>
      </c>
    </row>
    <row r="16">
      <c r="A16" s="39">
        <v>45569.0</v>
      </c>
      <c r="B16" s="4" t="s">
        <v>59</v>
      </c>
      <c r="C16" s="21">
        <v>12.0</v>
      </c>
      <c r="H16" s="19"/>
      <c r="N16" s="39">
        <v>45580.0</v>
      </c>
      <c r="O16" s="40">
        <f t="shared" si="4"/>
        <v>16.02</v>
      </c>
      <c r="P16" s="5">
        <f t="shared" si="5"/>
        <v>521.52</v>
      </c>
      <c r="Q16" s="5">
        <f t="shared" si="2"/>
        <v>34.768</v>
      </c>
      <c r="R16" s="9">
        <f t="shared" si="3"/>
        <v>1077.808</v>
      </c>
    </row>
    <row r="17">
      <c r="A17" s="39">
        <v>45569.0</v>
      </c>
      <c r="B17" s="4" t="s">
        <v>45</v>
      </c>
      <c r="C17" s="21">
        <v>13.5</v>
      </c>
      <c r="H17" s="19"/>
      <c r="N17" s="39">
        <v>45581.0</v>
      </c>
      <c r="O17" s="40">
        <f t="shared" si="4"/>
        <v>20.82</v>
      </c>
      <c r="P17" s="5">
        <f t="shared" si="5"/>
        <v>542.34</v>
      </c>
      <c r="Q17" s="5">
        <f t="shared" si="2"/>
        <v>33.89625</v>
      </c>
      <c r="R17" s="9">
        <f t="shared" si="3"/>
        <v>1050.78375</v>
      </c>
    </row>
    <row r="18">
      <c r="A18" s="39">
        <v>45569.0</v>
      </c>
      <c r="B18" s="4" t="s">
        <v>45</v>
      </c>
      <c r="C18" s="21">
        <v>7.0</v>
      </c>
      <c r="H18" s="19"/>
      <c r="N18" s="39">
        <v>45582.0</v>
      </c>
      <c r="O18" s="40">
        <f t="shared" si="4"/>
        <v>4.35</v>
      </c>
      <c r="P18" s="5">
        <f t="shared" si="5"/>
        <v>546.69</v>
      </c>
      <c r="Q18" s="5">
        <f t="shared" si="2"/>
        <v>32.15823529</v>
      </c>
      <c r="R18" s="9">
        <f t="shared" si="3"/>
        <v>996.9052941</v>
      </c>
    </row>
    <row r="19">
      <c r="A19" s="39">
        <v>45569.0</v>
      </c>
      <c r="B19" s="4" t="s">
        <v>57</v>
      </c>
      <c r="C19" s="21">
        <v>1.3</v>
      </c>
      <c r="N19" s="39">
        <v>45583.0</v>
      </c>
      <c r="O19" s="40">
        <f t="shared" si="4"/>
        <v>29.05</v>
      </c>
      <c r="P19" s="5">
        <f t="shared" si="5"/>
        <v>575.74</v>
      </c>
      <c r="Q19" s="5">
        <f t="shared" si="2"/>
        <v>31.98555556</v>
      </c>
      <c r="R19" s="9">
        <f t="shared" si="3"/>
        <v>991.5522222</v>
      </c>
    </row>
    <row r="20">
      <c r="A20" s="39">
        <v>45570.0</v>
      </c>
      <c r="B20" s="4" t="s">
        <v>305</v>
      </c>
      <c r="C20" s="21">
        <v>45.0</v>
      </c>
      <c r="H20" s="19"/>
      <c r="N20" s="39">
        <v>45584.0</v>
      </c>
      <c r="O20" s="40">
        <f t="shared" si="4"/>
        <v>83.46</v>
      </c>
      <c r="P20" s="5">
        <f t="shared" si="5"/>
        <v>659.2</v>
      </c>
      <c r="Q20" s="5">
        <f t="shared" si="2"/>
        <v>34.69473684</v>
      </c>
      <c r="R20" s="9">
        <f t="shared" si="3"/>
        <v>1075.536842</v>
      </c>
    </row>
    <row r="21">
      <c r="A21" s="39">
        <v>45570.0</v>
      </c>
      <c r="B21" s="4" t="s">
        <v>127</v>
      </c>
      <c r="C21" s="21">
        <v>5.15</v>
      </c>
      <c r="E21" s="19"/>
      <c r="F21" s="5"/>
      <c r="H21" s="19"/>
      <c r="N21" s="39">
        <v>45585.0</v>
      </c>
      <c r="O21" s="40">
        <f t="shared" si="4"/>
        <v>18.75</v>
      </c>
      <c r="P21" s="5">
        <f t="shared" si="5"/>
        <v>677.95</v>
      </c>
      <c r="Q21" s="5">
        <f t="shared" si="2"/>
        <v>33.8975</v>
      </c>
      <c r="R21" s="9">
        <f t="shared" si="3"/>
        <v>1050.8225</v>
      </c>
    </row>
    <row r="22">
      <c r="A22" s="39">
        <v>45570.0</v>
      </c>
      <c r="B22" s="4" t="s">
        <v>73</v>
      </c>
      <c r="C22" s="21">
        <v>13.63</v>
      </c>
      <c r="E22" s="19"/>
      <c r="F22" s="5"/>
      <c r="H22" s="19"/>
      <c r="N22" s="39">
        <v>45586.0</v>
      </c>
      <c r="O22" s="40">
        <f t="shared" si="4"/>
        <v>27.04</v>
      </c>
      <c r="P22" s="5">
        <f t="shared" si="5"/>
        <v>704.99</v>
      </c>
      <c r="Q22" s="5">
        <f t="shared" si="2"/>
        <v>33.57095238</v>
      </c>
      <c r="R22" s="9">
        <f t="shared" si="3"/>
        <v>1040.699524</v>
      </c>
    </row>
    <row r="23">
      <c r="A23" s="39">
        <v>45570.0</v>
      </c>
      <c r="B23" s="4" t="s">
        <v>52</v>
      </c>
      <c r="C23" s="21">
        <v>17.21</v>
      </c>
      <c r="E23" s="19"/>
      <c r="F23" s="5"/>
      <c r="H23" s="19"/>
      <c r="N23" s="39">
        <v>45587.0</v>
      </c>
      <c r="O23" s="40">
        <f t="shared" si="4"/>
        <v>11.1</v>
      </c>
      <c r="P23" s="5">
        <f t="shared" si="5"/>
        <v>716.09</v>
      </c>
      <c r="Q23" s="5">
        <f t="shared" si="2"/>
        <v>32.54954545</v>
      </c>
      <c r="R23" s="9">
        <f t="shared" si="3"/>
        <v>1009.035909</v>
      </c>
    </row>
    <row r="24">
      <c r="A24" s="39">
        <v>45570.0</v>
      </c>
      <c r="B24" s="4" t="s">
        <v>57</v>
      </c>
      <c r="C24" s="21">
        <v>2.49</v>
      </c>
      <c r="E24" s="19"/>
      <c r="F24" s="5"/>
      <c r="H24" s="19"/>
      <c r="N24" s="39">
        <v>45588.0</v>
      </c>
      <c r="O24" s="40">
        <f t="shared" si="4"/>
        <v>15.69</v>
      </c>
      <c r="P24" s="5">
        <f t="shared" si="5"/>
        <v>731.78</v>
      </c>
      <c r="Q24" s="5">
        <f t="shared" si="2"/>
        <v>31.81652174</v>
      </c>
      <c r="R24" s="9">
        <f t="shared" si="3"/>
        <v>986.3121739</v>
      </c>
    </row>
    <row r="25">
      <c r="A25" s="39">
        <v>45570.0</v>
      </c>
      <c r="B25" s="4" t="s">
        <v>47</v>
      </c>
      <c r="C25" s="21">
        <v>1.3</v>
      </c>
      <c r="E25" s="19"/>
      <c r="F25" s="5"/>
      <c r="H25" s="19"/>
      <c r="N25" s="39">
        <v>45589.0</v>
      </c>
      <c r="O25" s="40">
        <f t="shared" si="4"/>
        <v>41.01</v>
      </c>
      <c r="P25" s="5">
        <f t="shared" si="5"/>
        <v>772.79</v>
      </c>
      <c r="Q25" s="5">
        <f t="shared" si="2"/>
        <v>32.19958333</v>
      </c>
      <c r="R25" s="9">
        <f t="shared" si="3"/>
        <v>998.1870833</v>
      </c>
    </row>
    <row r="26">
      <c r="A26" s="39">
        <v>45570.0</v>
      </c>
      <c r="B26" s="4" t="s">
        <v>230</v>
      </c>
      <c r="C26" s="21">
        <v>9.99</v>
      </c>
      <c r="E26" s="19"/>
      <c r="F26" s="5"/>
      <c r="H26" s="19"/>
      <c r="N26" s="39">
        <v>45590.0</v>
      </c>
      <c r="O26" s="40">
        <f t="shared" si="4"/>
        <v>14.59</v>
      </c>
      <c r="P26" s="5">
        <f t="shared" si="5"/>
        <v>787.38</v>
      </c>
      <c r="Q26" s="5">
        <f t="shared" si="2"/>
        <v>31.4952</v>
      </c>
      <c r="R26" s="9">
        <f t="shared" si="3"/>
        <v>976.3512</v>
      </c>
    </row>
    <row r="27">
      <c r="A27" s="39">
        <v>45571.0</v>
      </c>
      <c r="B27" s="4" t="s">
        <v>263</v>
      </c>
      <c r="C27" s="21">
        <v>21.5</v>
      </c>
      <c r="E27" s="19"/>
      <c r="F27" s="5"/>
      <c r="H27" s="19"/>
      <c r="N27" s="39">
        <v>45591.0</v>
      </c>
      <c r="O27" s="40">
        <f t="shared" si="4"/>
        <v>17.05</v>
      </c>
      <c r="P27" s="5">
        <f t="shared" si="5"/>
        <v>804.43</v>
      </c>
      <c r="Q27" s="5">
        <f t="shared" si="2"/>
        <v>30.93961538</v>
      </c>
      <c r="R27" s="9">
        <f t="shared" si="3"/>
        <v>959.1280769</v>
      </c>
    </row>
    <row r="28">
      <c r="A28" s="39">
        <v>45571.0</v>
      </c>
      <c r="B28" s="4" t="s">
        <v>127</v>
      </c>
      <c r="C28" s="21">
        <v>5.6</v>
      </c>
      <c r="E28" s="19"/>
      <c r="F28" s="5"/>
      <c r="H28" s="19"/>
      <c r="N28" s="39">
        <v>45592.0</v>
      </c>
      <c r="O28" s="40">
        <f t="shared" si="4"/>
        <v>21.89</v>
      </c>
      <c r="P28" s="5">
        <f t="shared" si="5"/>
        <v>826.32</v>
      </c>
      <c r="Q28" s="5">
        <f t="shared" si="2"/>
        <v>30.60444444</v>
      </c>
      <c r="R28" s="9">
        <f t="shared" si="3"/>
        <v>948.7377778</v>
      </c>
    </row>
    <row r="29">
      <c r="A29" s="39">
        <v>45572.0</v>
      </c>
      <c r="B29" s="4" t="s">
        <v>306</v>
      </c>
      <c r="C29" s="21">
        <v>7.98</v>
      </c>
      <c r="E29" s="19"/>
      <c r="F29" s="5"/>
      <c r="H29" s="19"/>
      <c r="N29" s="39">
        <v>45593.0</v>
      </c>
      <c r="O29" s="40">
        <f t="shared" si="4"/>
        <v>5.9</v>
      </c>
      <c r="P29" s="5">
        <f t="shared" si="5"/>
        <v>832.22</v>
      </c>
      <c r="Q29" s="5">
        <f t="shared" si="2"/>
        <v>29.72214286</v>
      </c>
      <c r="R29" s="9">
        <f t="shared" si="3"/>
        <v>921.3864286</v>
      </c>
    </row>
    <row r="30">
      <c r="A30" s="39">
        <v>45572.0</v>
      </c>
      <c r="B30" s="4" t="s">
        <v>47</v>
      </c>
      <c r="C30" s="21">
        <v>14.0</v>
      </c>
      <c r="E30" s="19"/>
      <c r="F30" s="5"/>
      <c r="H30" s="19"/>
      <c r="N30" s="39">
        <v>45594.0</v>
      </c>
      <c r="O30" s="40">
        <f t="shared" si="4"/>
        <v>0</v>
      </c>
      <c r="P30" s="5">
        <f t="shared" si="5"/>
        <v>832.22</v>
      </c>
      <c r="Q30" s="5">
        <f t="shared" si="2"/>
        <v>28.69724138</v>
      </c>
      <c r="R30" s="9">
        <f t="shared" si="3"/>
        <v>889.6144828</v>
      </c>
    </row>
    <row r="31">
      <c r="A31" s="39">
        <v>45573.0</v>
      </c>
      <c r="B31" s="4" t="s">
        <v>307</v>
      </c>
      <c r="C31" s="21">
        <v>9.49</v>
      </c>
      <c r="E31" s="19"/>
      <c r="F31" s="5"/>
      <c r="H31" s="19"/>
      <c r="N31" s="39">
        <v>45595.0</v>
      </c>
      <c r="O31" s="40">
        <f t="shared" si="4"/>
        <v>22.3</v>
      </c>
      <c r="P31" s="5">
        <f t="shared" si="5"/>
        <v>854.52</v>
      </c>
      <c r="Q31" s="5">
        <f t="shared" si="2"/>
        <v>28.484</v>
      </c>
      <c r="R31" s="9">
        <f t="shared" si="3"/>
        <v>883.004</v>
      </c>
    </row>
    <row r="32">
      <c r="A32" s="39">
        <v>45573.0</v>
      </c>
      <c r="B32" s="4" t="s">
        <v>59</v>
      </c>
      <c r="C32" s="21">
        <v>20.71</v>
      </c>
      <c r="E32" s="19"/>
      <c r="F32" s="5"/>
      <c r="H32" s="19"/>
      <c r="N32" s="39">
        <v>45596.0</v>
      </c>
      <c r="O32" s="40">
        <f t="shared" si="4"/>
        <v>91.98</v>
      </c>
      <c r="P32" s="5">
        <f t="shared" si="5"/>
        <v>946.5</v>
      </c>
      <c r="Q32" s="5">
        <f t="shared" si="2"/>
        <v>30.53225806</v>
      </c>
      <c r="R32" s="9">
        <f t="shared" si="3"/>
        <v>946.5</v>
      </c>
    </row>
    <row r="33">
      <c r="A33" s="39">
        <v>45574.0</v>
      </c>
      <c r="B33" s="4" t="s">
        <v>62</v>
      </c>
      <c r="C33" s="21">
        <v>12.42</v>
      </c>
      <c r="E33" s="19"/>
      <c r="F33" s="5"/>
      <c r="H33" s="19"/>
      <c r="N33" s="39"/>
      <c r="Q33" s="5"/>
      <c r="R33" s="9"/>
    </row>
    <row r="34">
      <c r="A34" s="39">
        <v>45575.0</v>
      </c>
      <c r="B34" s="4" t="s">
        <v>47</v>
      </c>
      <c r="C34" s="21">
        <v>1.0</v>
      </c>
      <c r="E34" s="19"/>
      <c r="F34" s="5"/>
      <c r="H34" s="19"/>
      <c r="Q34" s="5"/>
      <c r="R34" s="9"/>
    </row>
    <row r="35">
      <c r="A35" s="39">
        <v>45575.0</v>
      </c>
      <c r="B35" s="4" t="s">
        <v>45</v>
      </c>
      <c r="C35" s="21">
        <f>10+10.6+10+5.3+10.6+14.6+7.7</f>
        <v>68.8</v>
      </c>
      <c r="E35" s="19"/>
      <c r="F35" s="5"/>
      <c r="H35" s="19"/>
      <c r="Q35" s="5"/>
      <c r="R35" s="9"/>
    </row>
    <row r="36">
      <c r="A36" s="39">
        <v>45576.0</v>
      </c>
      <c r="B36" s="4" t="s">
        <v>52</v>
      </c>
      <c r="C36" s="21">
        <v>13.15</v>
      </c>
      <c r="E36" s="19"/>
      <c r="F36" s="5"/>
      <c r="H36" s="19"/>
      <c r="Q36" s="5"/>
      <c r="R36" s="9"/>
    </row>
    <row r="37">
      <c r="A37" s="39">
        <v>45577.0</v>
      </c>
      <c r="B37" s="4" t="s">
        <v>52</v>
      </c>
      <c r="C37" s="21">
        <f>1.45+9.99</f>
        <v>11.44</v>
      </c>
      <c r="E37" s="19"/>
      <c r="F37" s="5"/>
      <c r="H37" s="19"/>
      <c r="Q37" s="5"/>
      <c r="R37" s="9"/>
    </row>
    <row r="38">
      <c r="A38" s="39">
        <v>45578.0</v>
      </c>
      <c r="B38" s="4" t="s">
        <v>62</v>
      </c>
      <c r="C38" s="21">
        <v>15.52</v>
      </c>
      <c r="E38" s="19"/>
      <c r="F38" s="5"/>
      <c r="H38" s="19"/>
      <c r="Q38" s="5"/>
      <c r="R38" s="9"/>
    </row>
    <row r="39">
      <c r="A39" s="39">
        <v>45578.0</v>
      </c>
      <c r="B39" s="4" t="s">
        <v>47</v>
      </c>
      <c r="C39" s="21">
        <v>2.8</v>
      </c>
      <c r="E39" s="19"/>
      <c r="F39" s="5"/>
      <c r="H39" s="19"/>
      <c r="Q39" s="5"/>
      <c r="R39" s="9"/>
    </row>
    <row r="40">
      <c r="A40" s="39">
        <v>45579.0</v>
      </c>
      <c r="B40" s="4" t="s">
        <v>47</v>
      </c>
      <c r="C40" s="21">
        <v>6.1</v>
      </c>
      <c r="E40" s="19"/>
      <c r="F40" s="5"/>
      <c r="H40" s="19"/>
      <c r="Q40" s="5"/>
      <c r="R40" s="9"/>
    </row>
    <row r="41">
      <c r="A41" s="39">
        <v>45580.0</v>
      </c>
      <c r="B41" s="4" t="s">
        <v>47</v>
      </c>
      <c r="C41" s="21">
        <v>7.53</v>
      </c>
      <c r="E41" s="19"/>
      <c r="F41" s="5"/>
      <c r="H41" s="19"/>
      <c r="Q41" s="5"/>
      <c r="R41" s="9"/>
    </row>
    <row r="42">
      <c r="A42" s="39">
        <v>45580.0</v>
      </c>
      <c r="B42" s="4" t="s">
        <v>140</v>
      </c>
      <c r="C42" s="21">
        <v>8.49</v>
      </c>
      <c r="E42" s="19"/>
      <c r="F42" s="5"/>
      <c r="H42" s="19"/>
      <c r="Q42" s="5"/>
      <c r="R42" s="9"/>
    </row>
    <row r="43">
      <c r="A43" s="39">
        <v>45581.0</v>
      </c>
      <c r="B43" s="4" t="s">
        <v>59</v>
      </c>
      <c r="C43" s="4">
        <v>20.82</v>
      </c>
      <c r="E43" s="19"/>
      <c r="F43" s="5"/>
      <c r="H43" s="19"/>
      <c r="Q43" s="5"/>
      <c r="R43" s="9"/>
    </row>
    <row r="44">
      <c r="A44" s="39">
        <v>45582.0</v>
      </c>
      <c r="B44" s="4" t="s">
        <v>62</v>
      </c>
      <c r="C44" s="21">
        <v>4.35</v>
      </c>
      <c r="E44" s="19"/>
      <c r="F44" s="5"/>
      <c r="H44" s="19"/>
      <c r="Q44" s="5"/>
      <c r="R44" s="9"/>
    </row>
    <row r="45">
      <c r="A45" s="39">
        <v>45583.0</v>
      </c>
      <c r="B45" s="4" t="s">
        <v>308</v>
      </c>
      <c r="C45" s="21">
        <v>10.0</v>
      </c>
      <c r="E45" s="19"/>
      <c r="F45" s="5"/>
      <c r="H45" s="19"/>
      <c r="Q45" s="5"/>
      <c r="R45" s="9"/>
    </row>
    <row r="46">
      <c r="A46" s="39">
        <v>45583.0</v>
      </c>
      <c r="B46" s="4" t="s">
        <v>127</v>
      </c>
      <c r="C46" s="21">
        <f>6.8+3</f>
        <v>9.8</v>
      </c>
      <c r="E46" s="19"/>
      <c r="F46" s="5"/>
      <c r="H46" s="19"/>
      <c r="Q46" s="5"/>
      <c r="R46" s="9"/>
    </row>
    <row r="47">
      <c r="A47" s="39">
        <v>45583.0</v>
      </c>
      <c r="B47" s="4" t="s">
        <v>47</v>
      </c>
      <c r="C47" s="21">
        <v>9.25</v>
      </c>
      <c r="E47" s="19"/>
      <c r="F47" s="5"/>
      <c r="H47" s="19"/>
      <c r="Q47" s="5"/>
      <c r="R47" s="9"/>
    </row>
    <row r="48">
      <c r="A48" s="39">
        <v>45584.0</v>
      </c>
      <c r="B48" s="4" t="s">
        <v>64</v>
      </c>
      <c r="C48" s="21">
        <v>19.27</v>
      </c>
      <c r="E48" s="19"/>
      <c r="F48" s="5"/>
      <c r="H48" s="19"/>
      <c r="Q48" s="5"/>
      <c r="R48" s="9"/>
    </row>
    <row r="49">
      <c r="A49" s="39">
        <v>45584.0</v>
      </c>
      <c r="B49" s="4" t="s">
        <v>73</v>
      </c>
      <c r="C49" s="21">
        <v>12.9</v>
      </c>
      <c r="E49" s="19"/>
      <c r="F49" s="5"/>
      <c r="H49" s="19"/>
      <c r="Q49" s="5"/>
      <c r="R49" s="9"/>
    </row>
    <row r="50">
      <c r="A50" s="39">
        <v>45584.0</v>
      </c>
      <c r="B50" s="4" t="s">
        <v>59</v>
      </c>
      <c r="C50" s="21">
        <v>16.34</v>
      </c>
      <c r="E50" s="19"/>
      <c r="F50" s="5"/>
      <c r="H50" s="19"/>
      <c r="Q50" s="5"/>
      <c r="R50" s="9"/>
    </row>
    <row r="51">
      <c r="A51" s="39">
        <v>45584.0</v>
      </c>
      <c r="B51" s="4" t="s">
        <v>45</v>
      </c>
      <c r="C51" s="21">
        <f>6.95+6.95+6.95+7.05+7.05</f>
        <v>34.95</v>
      </c>
      <c r="E51" s="19"/>
      <c r="F51" s="5"/>
      <c r="H51" s="19"/>
      <c r="Q51" s="5"/>
      <c r="R51" s="9"/>
    </row>
    <row r="52">
      <c r="A52" s="39">
        <v>45585.0</v>
      </c>
      <c r="B52" s="4" t="s">
        <v>52</v>
      </c>
      <c r="C52" s="21">
        <v>8.0</v>
      </c>
      <c r="E52" s="19"/>
      <c r="F52" s="5"/>
      <c r="H52" s="19"/>
      <c r="Q52" s="5"/>
      <c r="R52" s="9"/>
    </row>
    <row r="53">
      <c r="A53" s="39">
        <v>45585.0</v>
      </c>
      <c r="B53" s="4" t="s">
        <v>76</v>
      </c>
      <c r="C53" s="21">
        <v>7.5</v>
      </c>
      <c r="E53" s="19"/>
      <c r="F53" s="5"/>
      <c r="H53" s="19"/>
      <c r="Q53" s="5"/>
      <c r="R53" s="9"/>
    </row>
    <row r="54">
      <c r="A54" s="39">
        <v>45585.0</v>
      </c>
      <c r="B54" s="4" t="s">
        <v>47</v>
      </c>
      <c r="C54" s="21">
        <v>3.25</v>
      </c>
      <c r="E54" s="19"/>
      <c r="F54" s="5"/>
      <c r="H54" s="19"/>
      <c r="Q54" s="5"/>
      <c r="R54" s="9"/>
    </row>
    <row r="55">
      <c r="A55" s="39">
        <v>45586.0</v>
      </c>
      <c r="B55" s="4" t="s">
        <v>230</v>
      </c>
      <c r="C55" s="4">
        <v>13.49</v>
      </c>
      <c r="E55" s="19"/>
      <c r="F55" s="5"/>
      <c r="H55" s="19"/>
      <c r="Q55" s="5"/>
      <c r="R55" s="9"/>
    </row>
    <row r="56">
      <c r="A56" s="39">
        <v>45586.0</v>
      </c>
      <c r="B56" s="4" t="s">
        <v>89</v>
      </c>
      <c r="C56" s="21">
        <v>9.0</v>
      </c>
      <c r="E56" s="19"/>
      <c r="F56" s="5"/>
      <c r="H56" s="19"/>
      <c r="Q56" s="5"/>
      <c r="R56" s="9"/>
    </row>
    <row r="57">
      <c r="A57" s="39">
        <v>45586.0</v>
      </c>
      <c r="B57" s="4" t="s">
        <v>57</v>
      </c>
      <c r="C57" s="21">
        <v>4.55</v>
      </c>
      <c r="E57" s="19"/>
      <c r="F57" s="5"/>
      <c r="H57" s="19"/>
      <c r="Q57" s="5"/>
      <c r="R57" s="9"/>
    </row>
    <row r="58">
      <c r="A58" s="39">
        <v>45587.0</v>
      </c>
      <c r="B58" s="4" t="s">
        <v>47</v>
      </c>
      <c r="C58" s="43">
        <f>5.8+1.1</f>
        <v>6.9</v>
      </c>
      <c r="E58" s="19"/>
      <c r="F58" s="5"/>
      <c r="H58" s="19"/>
      <c r="Q58" s="5"/>
      <c r="R58" s="9"/>
    </row>
    <row r="59">
      <c r="A59" s="39">
        <v>45587.0</v>
      </c>
      <c r="B59" s="4" t="s">
        <v>127</v>
      </c>
      <c r="C59" s="21">
        <v>4.2</v>
      </c>
      <c r="E59" s="19"/>
      <c r="F59" s="5"/>
      <c r="H59" s="19"/>
      <c r="Q59" s="5"/>
      <c r="R59" s="9"/>
    </row>
    <row r="60">
      <c r="A60" s="39">
        <v>45588.0</v>
      </c>
      <c r="B60" s="4" t="s">
        <v>209</v>
      </c>
      <c r="C60" s="21">
        <v>4.99</v>
      </c>
      <c r="E60" s="19"/>
      <c r="F60" s="5"/>
      <c r="H60" s="19"/>
      <c r="Q60" s="5"/>
      <c r="R60" s="9"/>
    </row>
    <row r="61">
      <c r="A61" s="39">
        <v>45588.0</v>
      </c>
      <c r="B61" s="4" t="s">
        <v>140</v>
      </c>
      <c r="C61" s="21">
        <v>9.45</v>
      </c>
      <c r="E61" s="19"/>
      <c r="F61" s="5"/>
      <c r="H61" s="19"/>
      <c r="Q61" s="5"/>
      <c r="R61" s="9"/>
    </row>
    <row r="62">
      <c r="A62" s="39">
        <v>45588.0</v>
      </c>
      <c r="B62" s="4" t="s">
        <v>62</v>
      </c>
      <c r="C62" s="21">
        <v>1.25</v>
      </c>
      <c r="E62" s="19"/>
      <c r="F62" s="5"/>
      <c r="H62" s="19"/>
      <c r="Q62" s="5"/>
      <c r="R62" s="9"/>
    </row>
    <row r="63">
      <c r="A63" s="39">
        <v>45589.0</v>
      </c>
      <c r="B63" s="4" t="s">
        <v>230</v>
      </c>
      <c r="C63" s="21">
        <v>9.99</v>
      </c>
      <c r="E63" s="19"/>
      <c r="F63" s="5"/>
      <c r="H63" s="19"/>
      <c r="Q63" s="5"/>
      <c r="R63" s="9"/>
    </row>
    <row r="64">
      <c r="A64" s="39">
        <v>45589.0</v>
      </c>
      <c r="B64" s="4" t="s">
        <v>47</v>
      </c>
      <c r="C64" s="21">
        <v>10.23</v>
      </c>
      <c r="E64" s="19"/>
      <c r="F64" s="5"/>
      <c r="H64" s="19"/>
      <c r="Q64" s="5"/>
      <c r="R64" s="9"/>
    </row>
    <row r="65">
      <c r="A65" s="39">
        <v>45589.0</v>
      </c>
      <c r="B65" s="4" t="s">
        <v>119</v>
      </c>
      <c r="C65" s="21">
        <v>13.99</v>
      </c>
      <c r="E65" s="19"/>
      <c r="F65" s="5"/>
      <c r="H65" s="19"/>
      <c r="Q65" s="5"/>
      <c r="R65" s="9"/>
    </row>
    <row r="66">
      <c r="A66" s="39">
        <v>45589.0</v>
      </c>
      <c r="B66" s="4" t="s">
        <v>168</v>
      </c>
      <c r="C66" s="21">
        <v>6.8</v>
      </c>
      <c r="E66" s="19"/>
      <c r="F66" s="5"/>
      <c r="H66" s="19"/>
      <c r="Q66" s="5"/>
      <c r="R66" s="9"/>
    </row>
    <row r="67">
      <c r="A67" s="39">
        <v>45590.0</v>
      </c>
      <c r="B67" s="4" t="s">
        <v>168</v>
      </c>
      <c r="C67" s="21">
        <v>5.6</v>
      </c>
      <c r="E67" s="19"/>
      <c r="F67" s="5"/>
      <c r="H67" s="19"/>
      <c r="Q67" s="5"/>
      <c r="R67" s="9"/>
    </row>
    <row r="68">
      <c r="A68" s="39">
        <v>45590.0</v>
      </c>
      <c r="B68" s="4" t="s">
        <v>210</v>
      </c>
      <c r="C68" s="21">
        <v>8.99</v>
      </c>
      <c r="E68" s="19"/>
      <c r="F68" s="5"/>
      <c r="H68" s="19"/>
      <c r="Q68" s="5"/>
      <c r="R68" s="9"/>
    </row>
    <row r="69">
      <c r="A69" s="39">
        <v>45591.0</v>
      </c>
      <c r="B69" s="4" t="s">
        <v>47</v>
      </c>
      <c r="C69" s="21">
        <v>17.05</v>
      </c>
      <c r="E69" s="19"/>
      <c r="F69" s="5"/>
      <c r="H69" s="19"/>
      <c r="Q69" s="5"/>
      <c r="R69" s="9"/>
    </row>
    <row r="70">
      <c r="A70" s="39">
        <v>45592.0</v>
      </c>
      <c r="B70" s="4" t="s">
        <v>57</v>
      </c>
      <c r="C70" s="21">
        <v>21.89</v>
      </c>
      <c r="E70" s="19"/>
      <c r="F70" s="5"/>
      <c r="H70" s="19"/>
      <c r="Q70" s="5"/>
      <c r="R70" s="9"/>
    </row>
    <row r="71">
      <c r="A71" s="39">
        <v>45593.0</v>
      </c>
      <c r="B71" s="4" t="s">
        <v>168</v>
      </c>
      <c r="C71" s="21">
        <v>5.9</v>
      </c>
      <c r="E71" s="19"/>
      <c r="F71" s="5"/>
      <c r="H71" s="19"/>
      <c r="Q71" s="5"/>
      <c r="R71" s="9"/>
    </row>
    <row r="72">
      <c r="A72" s="39">
        <v>45595.0</v>
      </c>
      <c r="B72" s="4" t="s">
        <v>309</v>
      </c>
      <c r="C72" s="12">
        <v>22.3</v>
      </c>
      <c r="E72" s="19"/>
      <c r="F72" s="5"/>
      <c r="H72" s="19"/>
      <c r="Q72" s="5"/>
      <c r="R72" s="9"/>
    </row>
    <row r="73">
      <c r="A73" s="39">
        <v>45596.0</v>
      </c>
      <c r="B73" s="4" t="s">
        <v>310</v>
      </c>
      <c r="C73" s="21">
        <v>91.98</v>
      </c>
      <c r="E73" s="19"/>
      <c r="F73" s="5"/>
      <c r="H73" s="19"/>
      <c r="Q73" s="5"/>
      <c r="R73" s="9"/>
    </row>
    <row r="74">
      <c r="A74" s="39"/>
      <c r="C74" s="21"/>
      <c r="E74" s="19"/>
      <c r="F74" s="5"/>
      <c r="H74" s="19"/>
      <c r="Q74" s="5"/>
      <c r="R74" s="9"/>
    </row>
    <row r="75">
      <c r="A75" s="39"/>
      <c r="C75" s="21"/>
      <c r="E75" s="19"/>
      <c r="F75" s="5"/>
      <c r="H75" s="19"/>
      <c r="Q75" s="5"/>
      <c r="R75" s="9"/>
    </row>
    <row r="76">
      <c r="A76" s="39"/>
      <c r="C76" s="21"/>
      <c r="E76" s="19"/>
      <c r="F76" s="5"/>
      <c r="H76" s="19"/>
      <c r="Q76" s="5"/>
      <c r="R76" s="9"/>
    </row>
    <row r="77">
      <c r="A77" s="39"/>
      <c r="C77" s="21"/>
      <c r="E77" s="19"/>
      <c r="F77" s="5"/>
      <c r="H77" s="19"/>
      <c r="Q77" s="5"/>
      <c r="R77" s="9"/>
    </row>
    <row r="78">
      <c r="A78" s="39"/>
      <c r="C78" s="21"/>
      <c r="E78" s="19"/>
      <c r="F78" s="5"/>
      <c r="H78" s="19"/>
      <c r="Q78" s="5"/>
      <c r="R78" s="9"/>
    </row>
    <row r="79">
      <c r="A79" s="39"/>
      <c r="C79" s="5"/>
      <c r="E79" s="19"/>
      <c r="F79" s="5"/>
      <c r="H79" s="19"/>
      <c r="Q79" s="5"/>
      <c r="R79" s="9"/>
    </row>
    <row r="80">
      <c r="A80" s="39"/>
      <c r="C80" s="21"/>
      <c r="E80" s="19"/>
      <c r="F80" s="5"/>
      <c r="H80" s="19"/>
      <c r="Q80" s="5"/>
      <c r="R80" s="9"/>
    </row>
    <row r="81">
      <c r="A81" s="39"/>
      <c r="C81" s="21"/>
      <c r="E81" s="19"/>
      <c r="F81" s="5"/>
      <c r="H81" s="19"/>
      <c r="Q81" s="5"/>
      <c r="R81" s="9"/>
    </row>
    <row r="82">
      <c r="A82" s="39"/>
      <c r="C82" s="21"/>
      <c r="E82" s="19"/>
      <c r="F82" s="5"/>
      <c r="H82" s="19"/>
      <c r="Q82" s="5"/>
      <c r="R82" s="9"/>
    </row>
    <row r="83">
      <c r="A83" s="39"/>
      <c r="C83" s="21"/>
      <c r="E83" s="19"/>
      <c r="F83" s="5"/>
      <c r="H83" s="19"/>
      <c r="Q83" s="5"/>
      <c r="R83" s="9"/>
    </row>
    <row r="84">
      <c r="A84" s="39"/>
      <c r="C84" s="21"/>
      <c r="E84" s="19"/>
      <c r="F84" s="5"/>
      <c r="H84" s="19"/>
      <c r="Q84" s="5"/>
      <c r="R84" s="9"/>
    </row>
    <row r="85">
      <c r="A85" s="39"/>
      <c r="C85" s="21"/>
      <c r="E85" s="19"/>
      <c r="F85" s="5"/>
      <c r="H85" s="19"/>
      <c r="Q85" s="5"/>
      <c r="R85" s="9"/>
    </row>
    <row r="86">
      <c r="A86" s="39"/>
      <c r="C86" s="21"/>
      <c r="E86" s="19"/>
      <c r="F86" s="5"/>
      <c r="H86" s="19"/>
      <c r="Q86" s="5"/>
      <c r="R86" s="9"/>
    </row>
    <row r="87">
      <c r="A87" s="39"/>
      <c r="C87" s="21"/>
      <c r="E87" s="19"/>
      <c r="F87" s="5"/>
      <c r="H87" s="19"/>
      <c r="Q87" s="5"/>
      <c r="R87" s="9"/>
    </row>
    <row r="88">
      <c r="A88" s="39"/>
      <c r="C88" s="21"/>
      <c r="E88" s="19"/>
      <c r="F88" s="5"/>
      <c r="H88" s="19"/>
      <c r="Q88" s="5"/>
      <c r="R88" s="9"/>
    </row>
    <row r="89">
      <c r="A89" s="39"/>
      <c r="C89" s="21"/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N1:N999">
    <cfRule type="timePeriod" dxfId="4" priority="1" timePeriod="today"/>
  </conditionalFormatting>
  <conditionalFormatting sqref="N1 N33:N999">
    <cfRule type="timePeriod" dxfId="5" priority="2" timePeriod="today"/>
  </conditionalFormatting>
  <conditionalFormatting sqref="O1:O999 Q1:Q999">
    <cfRule type="cellIs" dxfId="0" priority="3" operator="lessThan">
      <formula>25</formula>
    </cfRule>
  </conditionalFormatting>
  <conditionalFormatting sqref="O1:O999 Q1:Q999">
    <cfRule type="cellIs" dxfId="6" priority="4" operator="lessThan">
      <formula>35</formula>
    </cfRule>
  </conditionalFormatting>
  <conditionalFormatting sqref="O1:O999 Q1:Q999">
    <cfRule type="cellIs" dxfId="1" priority="5" operator="greaterThanOrEqual">
      <formula>35</formula>
    </cfRule>
  </conditionalFormatting>
  <conditionalFormatting sqref="I1">
    <cfRule type="cellIs" dxfId="1" priority="6" operator="lessThan">
      <formula>0</formula>
    </cfRule>
  </conditionalFormatting>
  <conditionalFormatting sqref="I1">
    <cfRule type="cellIs" dxfId="0" priority="7" operator="greaterThan">
      <formula>0</formula>
    </cfRule>
  </conditionalFormatting>
  <conditionalFormatting sqref="V2">
    <cfRule type="cellIs" dxfId="2" priority="8" operator="greaterThan">
      <formula>0</formula>
    </cfRule>
  </conditionalFormatting>
  <conditionalFormatting sqref="V2">
    <cfRule type="cellIs" dxfId="3" priority="9" operator="lessThan">
      <formula>0</formula>
    </cfRule>
  </conditionalFormatting>
  <conditionalFormatting sqref="T9">
    <cfRule type="cellIs" dxfId="0" priority="10" operator="greaterThan">
      <formula>T8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126.01</v>
      </c>
      <c r="H1" s="1" t="s">
        <v>46</v>
      </c>
      <c r="I1" s="5">
        <f>I6-I7</f>
        <v>-84.77</v>
      </c>
      <c r="J1" s="19"/>
      <c r="K1" s="1" t="s">
        <v>47</v>
      </c>
      <c r="L1" s="5">
        <f t="shared" ref="L1:L5" si="1">SUMIF(B:B,K1,C:I)</f>
        <v>103.39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9"/>
      <c r="U1" s="19"/>
      <c r="V1" s="19"/>
      <c r="W1" s="19"/>
      <c r="X1" s="19"/>
      <c r="Y1" s="19"/>
      <c r="Z1" s="19"/>
    </row>
    <row r="2">
      <c r="A2" s="39">
        <v>45536.0</v>
      </c>
      <c r="B2" s="4" t="s">
        <v>8</v>
      </c>
      <c r="C2" s="21">
        <v>500.0</v>
      </c>
      <c r="E2" s="1" t="s">
        <v>52</v>
      </c>
      <c r="F2" s="5">
        <f>SUMIF(B:B,"Deliveroo",C:C)+SUMIF(B:B,"Just eat",C:C)+SUMIF(B:B,"Uber eats",C:C)+SUMIF(B:B,E2,C:C)</f>
        <v>100.1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0</v>
      </c>
      <c r="N2" s="39">
        <v>45536.0</v>
      </c>
      <c r="O2" s="5">
        <f>sumif(A:A,N2,C:C)-sum(C2:C5)</f>
        <v>40.7</v>
      </c>
      <c r="P2" s="5">
        <f>SUM(O2)</f>
        <v>40.7</v>
      </c>
      <c r="Q2" s="5">
        <f t="shared" ref="Q2:Q31" si="2">P2/(ROW()-1)</f>
        <v>40.7</v>
      </c>
      <c r="R2" s="9">
        <f t="shared" ref="R2:R31" si="3">count(N:N)*Q2</f>
        <v>1221</v>
      </c>
    </row>
    <row r="3">
      <c r="A3" s="39">
        <v>45536.0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3.9</v>
      </c>
      <c r="H3" s="1" t="s">
        <v>8</v>
      </c>
      <c r="I3" s="5">
        <f>SUMIF(B:B,H3,C:C)+I1</f>
        <v>415.23</v>
      </c>
      <c r="K3" s="1" t="s">
        <v>56</v>
      </c>
      <c r="L3" s="5">
        <f t="shared" si="1"/>
        <v>0</v>
      </c>
      <c r="N3" s="39">
        <v>45537.0</v>
      </c>
      <c r="O3" s="40">
        <f t="shared" ref="O3:O31" si="4">sumif(A:A,N3,C:C)</f>
        <v>17.7</v>
      </c>
      <c r="P3" s="5">
        <f t="shared" ref="P3:P31" si="5">P2+O3</f>
        <v>58.4</v>
      </c>
      <c r="Q3" s="5">
        <f t="shared" si="2"/>
        <v>29.2</v>
      </c>
      <c r="R3" s="9">
        <f t="shared" si="3"/>
        <v>876</v>
      </c>
    </row>
    <row r="4">
      <c r="A4" s="39">
        <v>45536.0</v>
      </c>
      <c r="B4" s="4" t="s">
        <v>6</v>
      </c>
      <c r="C4" s="21">
        <v>250.0</v>
      </c>
      <c r="E4" s="1" t="s">
        <v>140</v>
      </c>
      <c r="F4" s="5">
        <f t="shared" ref="F4:F5" si="6">SUMIF(B:B,E4,C:C)</f>
        <v>26.75</v>
      </c>
      <c r="H4" s="1" t="s">
        <v>58</v>
      </c>
      <c r="I4" s="5">
        <f>I2+I3</f>
        <v>665.23</v>
      </c>
      <c r="K4" s="1" t="s">
        <v>59</v>
      </c>
      <c r="L4" s="5">
        <f t="shared" si="1"/>
        <v>54.79</v>
      </c>
      <c r="N4" s="39">
        <v>45538.0</v>
      </c>
      <c r="O4" s="40">
        <f t="shared" si="4"/>
        <v>35.72</v>
      </c>
      <c r="P4" s="5">
        <f t="shared" si="5"/>
        <v>94.12</v>
      </c>
      <c r="Q4" s="5">
        <f t="shared" si="2"/>
        <v>31.37333333</v>
      </c>
      <c r="R4" s="9">
        <f t="shared" si="3"/>
        <v>941.2</v>
      </c>
    </row>
    <row r="5">
      <c r="A5" s="39">
        <v>45536.0</v>
      </c>
      <c r="B5" s="4" t="s">
        <v>252</v>
      </c>
      <c r="C5" s="21">
        <v>9.0</v>
      </c>
      <c r="E5" s="1" t="s">
        <v>210</v>
      </c>
      <c r="F5" s="5">
        <f t="shared" si="6"/>
        <v>130.64</v>
      </c>
      <c r="K5" s="1" t="s">
        <v>62</v>
      </c>
      <c r="L5" s="5">
        <f t="shared" si="1"/>
        <v>27.02</v>
      </c>
      <c r="N5" s="39">
        <v>45539.0</v>
      </c>
      <c r="O5" s="40">
        <f t="shared" si="4"/>
        <v>4.8</v>
      </c>
      <c r="P5" s="5">
        <f t="shared" si="5"/>
        <v>98.92</v>
      </c>
      <c r="Q5" s="5">
        <f t="shared" si="2"/>
        <v>24.73</v>
      </c>
      <c r="R5" s="9">
        <f t="shared" si="3"/>
        <v>741.9</v>
      </c>
    </row>
    <row r="6">
      <c r="A6" s="39">
        <v>45536.0</v>
      </c>
      <c r="B6" s="4" t="s">
        <v>254</v>
      </c>
      <c r="C6" s="21">
        <f>99/12</f>
        <v>8.25</v>
      </c>
      <c r="E6" s="1" t="s">
        <v>57</v>
      </c>
      <c r="F6" s="5">
        <f>sum(L:L)+sumif(B:B,"Groceries",C:C)</f>
        <v>202.35</v>
      </c>
      <c r="H6" s="1" t="s">
        <v>65</v>
      </c>
      <c r="I6" s="21">
        <v>2988.17</v>
      </c>
      <c r="N6" s="39">
        <v>45540.0</v>
      </c>
      <c r="O6" s="40">
        <f t="shared" si="4"/>
        <v>79.85</v>
      </c>
      <c r="P6" s="5">
        <f t="shared" si="5"/>
        <v>178.77</v>
      </c>
      <c r="Q6" s="5">
        <f t="shared" si="2"/>
        <v>35.754</v>
      </c>
      <c r="R6" s="9">
        <f t="shared" si="3"/>
        <v>1072.62</v>
      </c>
    </row>
    <row r="7">
      <c r="A7" s="39">
        <v>45536.0</v>
      </c>
      <c r="B7" s="4" t="s">
        <v>271</v>
      </c>
      <c r="C7" s="21">
        <v>8.0</v>
      </c>
      <c r="E7" s="42" t="s">
        <v>61</v>
      </c>
      <c r="F7" s="5">
        <f>SUMIF(B:B,"Games",C:C)+SUMIF(B:B,"Spotify",C:C)+SUMIF(B:B,"Streaming",C:C)+SUMIF(B:B,"Book",C:C)+SUMIF(B:B,"Audible",C:C)+SUMIF(B:B,"Cinema",C:C)+SUMIF(B:B,"Theatre",C:C)</f>
        <v>67.13</v>
      </c>
      <c r="H7" s="1" t="s">
        <v>68</v>
      </c>
      <c r="I7" s="5">
        <f>sum(C:C)</f>
        <v>3072.94</v>
      </c>
      <c r="N7" s="39">
        <v>45541.0</v>
      </c>
      <c r="O7" s="40">
        <f t="shared" si="4"/>
        <v>83.65</v>
      </c>
      <c r="P7" s="5">
        <f t="shared" si="5"/>
        <v>262.42</v>
      </c>
      <c r="Q7" s="5">
        <f t="shared" si="2"/>
        <v>43.73666667</v>
      </c>
      <c r="R7" s="9">
        <f t="shared" si="3"/>
        <v>1312.1</v>
      </c>
    </row>
    <row r="8">
      <c r="A8" s="39">
        <v>45536.0</v>
      </c>
      <c r="B8" s="4" t="s">
        <v>57</v>
      </c>
      <c r="C8" s="21">
        <v>1.5</v>
      </c>
      <c r="E8" s="1" t="s">
        <v>64</v>
      </c>
      <c r="F8" s="5">
        <f>SUMIF(B:B,E8,C:C)+SUMIF(B:B,"Shoes",C:C)</f>
        <v>62.26</v>
      </c>
      <c r="H8" s="1" t="s">
        <v>72</v>
      </c>
      <c r="I8" s="5">
        <f>sum(F:F)+I2+C2</f>
        <v>2697.33</v>
      </c>
      <c r="N8" s="39">
        <v>45542.0</v>
      </c>
      <c r="O8" s="40">
        <f t="shared" si="4"/>
        <v>15.9</v>
      </c>
      <c r="P8" s="5">
        <f t="shared" si="5"/>
        <v>278.32</v>
      </c>
      <c r="Q8" s="5">
        <f t="shared" si="2"/>
        <v>39.76</v>
      </c>
      <c r="R8" s="9">
        <f t="shared" si="3"/>
        <v>1192.8</v>
      </c>
    </row>
    <row r="9">
      <c r="A9" s="39">
        <v>45536.0</v>
      </c>
      <c r="B9" s="4" t="s">
        <v>52</v>
      </c>
      <c r="C9" s="21">
        <v>22.95</v>
      </c>
      <c r="E9" s="1" t="s">
        <v>54</v>
      </c>
      <c r="F9" s="5">
        <f>SUMIF(B:B,E9,C:C)+SUMIF(B:B,"Phone",C:C)</f>
        <v>1114</v>
      </c>
      <c r="H9" s="1" t="s">
        <v>74</v>
      </c>
      <c r="I9" s="5">
        <f>I7-I8</f>
        <v>375.61</v>
      </c>
      <c r="N9" s="39">
        <v>45543.0</v>
      </c>
      <c r="O9" s="40">
        <f t="shared" si="4"/>
        <v>21.36</v>
      </c>
      <c r="P9" s="5">
        <f t="shared" si="5"/>
        <v>299.68</v>
      </c>
      <c r="Q9" s="5">
        <f t="shared" si="2"/>
        <v>37.46</v>
      </c>
      <c r="R9" s="9">
        <f t="shared" si="3"/>
        <v>1123.8</v>
      </c>
    </row>
    <row r="10">
      <c r="A10" s="39">
        <v>45537.0</v>
      </c>
      <c r="B10" s="4" t="s">
        <v>47</v>
      </c>
      <c r="C10" s="21">
        <v>14.1</v>
      </c>
      <c r="E10" s="1" t="s">
        <v>127</v>
      </c>
      <c r="F10" s="5">
        <f>SUMIF(B:B,E10,C:C)</f>
        <v>70.2</v>
      </c>
      <c r="N10" s="39">
        <v>45544.0</v>
      </c>
      <c r="O10" s="40">
        <f t="shared" si="4"/>
        <v>26.06</v>
      </c>
      <c r="P10" s="5">
        <f t="shared" si="5"/>
        <v>325.74</v>
      </c>
      <c r="Q10" s="5">
        <f t="shared" si="2"/>
        <v>36.19333333</v>
      </c>
      <c r="R10" s="9">
        <f t="shared" si="3"/>
        <v>1085.8</v>
      </c>
    </row>
    <row r="11">
      <c r="A11" s="39">
        <v>45537.0</v>
      </c>
      <c r="B11" s="4" t="s">
        <v>127</v>
      </c>
      <c r="C11" s="4">
        <v>3.6</v>
      </c>
      <c r="E11" s="1" t="s">
        <v>73</v>
      </c>
      <c r="F11" s="5">
        <f>SUMIF(B:B,"Uber",C:C)</f>
        <v>15.37</v>
      </c>
      <c r="H11" s="1" t="s">
        <v>3</v>
      </c>
      <c r="I11" s="28">
        <f>I4/I6</f>
        <v>0.2226212029</v>
      </c>
      <c r="N11" s="39">
        <v>45545.0</v>
      </c>
      <c r="O11" s="40">
        <f t="shared" si="4"/>
        <v>33.64</v>
      </c>
      <c r="P11" s="5">
        <f t="shared" si="5"/>
        <v>359.38</v>
      </c>
      <c r="Q11" s="5">
        <f t="shared" si="2"/>
        <v>35.938</v>
      </c>
      <c r="R11" s="9">
        <f t="shared" si="3"/>
        <v>1078.14</v>
      </c>
    </row>
    <row r="12">
      <c r="A12" s="39">
        <v>45538.0</v>
      </c>
      <c r="B12" s="4" t="s">
        <v>62</v>
      </c>
      <c r="C12" s="4">
        <v>14.22</v>
      </c>
      <c r="E12" s="1" t="s">
        <v>75</v>
      </c>
      <c r="F12" s="40">
        <f>SUMIF(B:B,"Gym",C:C)+SUMIF(B:B,"Climbing",C:C)+SUMIF(B:B,"Tennis",C:C)</f>
        <v>18.02</v>
      </c>
      <c r="N12" s="39">
        <v>45546.0</v>
      </c>
      <c r="O12" s="40">
        <f t="shared" si="4"/>
        <v>2.03</v>
      </c>
      <c r="P12" s="5">
        <f t="shared" si="5"/>
        <v>361.41</v>
      </c>
      <c r="Q12" s="5">
        <f t="shared" si="2"/>
        <v>32.85545455</v>
      </c>
      <c r="R12" s="9">
        <f t="shared" si="3"/>
        <v>985.6636364</v>
      </c>
    </row>
    <row r="13">
      <c r="A13" s="39">
        <v>45538.0</v>
      </c>
      <c r="B13" s="4" t="s">
        <v>263</v>
      </c>
      <c r="C13" s="21">
        <v>21.5</v>
      </c>
      <c r="E13" s="1" t="s">
        <v>76</v>
      </c>
      <c r="F13" s="5">
        <f>SUMIF(B:B,"Coffee",C:C)</f>
        <v>10.6</v>
      </c>
      <c r="N13" s="39">
        <v>45547.0</v>
      </c>
      <c r="O13" s="40">
        <f t="shared" si="4"/>
        <v>75.61</v>
      </c>
      <c r="P13" s="5">
        <f t="shared" si="5"/>
        <v>437.02</v>
      </c>
      <c r="Q13" s="5">
        <f t="shared" si="2"/>
        <v>36.41833333</v>
      </c>
      <c r="R13" s="9">
        <f t="shared" si="3"/>
        <v>1092.55</v>
      </c>
    </row>
    <row r="14">
      <c r="A14" s="39">
        <v>45539.0</v>
      </c>
      <c r="B14" s="4" t="s">
        <v>140</v>
      </c>
      <c r="C14" s="21">
        <v>4.8</v>
      </c>
      <c r="H14" s="19"/>
      <c r="N14" s="39">
        <v>45548.0</v>
      </c>
      <c r="O14" s="40">
        <f t="shared" si="4"/>
        <v>26.29</v>
      </c>
      <c r="P14" s="5">
        <f t="shared" si="5"/>
        <v>463.31</v>
      </c>
      <c r="Q14" s="5">
        <f t="shared" si="2"/>
        <v>35.63923077</v>
      </c>
      <c r="R14" s="9">
        <f t="shared" si="3"/>
        <v>1069.176923</v>
      </c>
    </row>
    <row r="15">
      <c r="A15" s="39">
        <v>45540.0</v>
      </c>
      <c r="B15" s="4" t="s">
        <v>89</v>
      </c>
      <c r="C15" s="21">
        <v>2.5</v>
      </c>
      <c r="E15" s="1"/>
      <c r="H15" s="1" t="s">
        <v>55</v>
      </c>
      <c r="I15" s="5">
        <f>sum(F2:F5)+F13</f>
        <v>271.99</v>
      </c>
      <c r="N15" s="39">
        <v>45549.0</v>
      </c>
      <c r="O15" s="40">
        <f t="shared" si="4"/>
        <v>85.18</v>
      </c>
      <c r="P15" s="5">
        <f t="shared" si="5"/>
        <v>548.49</v>
      </c>
      <c r="Q15" s="5">
        <f t="shared" si="2"/>
        <v>39.17785714</v>
      </c>
      <c r="R15" s="9">
        <f t="shared" si="3"/>
        <v>1175.335714</v>
      </c>
    </row>
    <row r="16">
      <c r="A16" s="39">
        <v>45540.0</v>
      </c>
      <c r="B16" s="4" t="s">
        <v>76</v>
      </c>
      <c r="C16" s="21">
        <v>7.2</v>
      </c>
      <c r="H16" s="19"/>
      <c r="N16" s="39">
        <v>45550.0</v>
      </c>
      <c r="O16" s="40">
        <f t="shared" si="4"/>
        <v>90.23</v>
      </c>
      <c r="P16" s="5">
        <f t="shared" si="5"/>
        <v>638.72</v>
      </c>
      <c r="Q16" s="5">
        <f t="shared" si="2"/>
        <v>42.58133333</v>
      </c>
      <c r="R16" s="9">
        <f t="shared" si="3"/>
        <v>1277.44</v>
      </c>
    </row>
    <row r="17">
      <c r="A17" s="39">
        <v>45540.0</v>
      </c>
      <c r="B17" s="4" t="s">
        <v>141</v>
      </c>
      <c r="C17" s="21">
        <v>30.0</v>
      </c>
      <c r="H17" s="19"/>
      <c r="N17" s="39">
        <v>45551.0</v>
      </c>
      <c r="O17" s="40">
        <f t="shared" si="4"/>
        <v>13.9</v>
      </c>
      <c r="P17" s="5">
        <f t="shared" si="5"/>
        <v>652.62</v>
      </c>
      <c r="Q17" s="5">
        <f t="shared" si="2"/>
        <v>40.78875</v>
      </c>
      <c r="R17" s="9">
        <f t="shared" si="3"/>
        <v>1223.6625</v>
      </c>
    </row>
    <row r="18">
      <c r="A18" s="39">
        <v>45540.0</v>
      </c>
      <c r="B18" s="4" t="s">
        <v>210</v>
      </c>
      <c r="C18" s="21">
        <v>30.0</v>
      </c>
      <c r="H18" s="19"/>
      <c r="N18" s="39">
        <v>45552.0</v>
      </c>
      <c r="O18" s="40">
        <f t="shared" si="4"/>
        <v>0</v>
      </c>
      <c r="P18" s="5">
        <f t="shared" si="5"/>
        <v>652.62</v>
      </c>
      <c r="Q18" s="5">
        <f t="shared" si="2"/>
        <v>38.38941176</v>
      </c>
      <c r="R18" s="9">
        <f t="shared" si="3"/>
        <v>1151.682353</v>
      </c>
    </row>
    <row r="19">
      <c r="A19" s="39">
        <v>45540.0</v>
      </c>
      <c r="B19" s="4" t="s">
        <v>127</v>
      </c>
      <c r="C19" s="21">
        <v>8.5</v>
      </c>
      <c r="H19" s="19"/>
      <c r="N19" s="39">
        <v>45553.0</v>
      </c>
      <c r="O19" s="40">
        <f t="shared" si="4"/>
        <v>39.01</v>
      </c>
      <c r="P19" s="5">
        <f t="shared" si="5"/>
        <v>691.63</v>
      </c>
      <c r="Q19" s="5">
        <f t="shared" si="2"/>
        <v>38.42388889</v>
      </c>
      <c r="R19" s="9">
        <f t="shared" si="3"/>
        <v>1152.716667</v>
      </c>
    </row>
    <row r="20">
      <c r="A20" s="39">
        <v>45540.0</v>
      </c>
      <c r="B20" s="4" t="s">
        <v>47</v>
      </c>
      <c r="C20" s="21">
        <v>1.65</v>
      </c>
      <c r="H20" s="19"/>
      <c r="N20" s="39">
        <v>45554.0</v>
      </c>
      <c r="O20" s="40">
        <f t="shared" si="4"/>
        <v>100.37</v>
      </c>
      <c r="P20" s="5">
        <f t="shared" si="5"/>
        <v>792</v>
      </c>
      <c r="Q20" s="5">
        <f t="shared" si="2"/>
        <v>41.68421053</v>
      </c>
      <c r="R20" s="9">
        <f t="shared" si="3"/>
        <v>1250.526316</v>
      </c>
    </row>
    <row r="21">
      <c r="A21" s="39">
        <v>45541.0</v>
      </c>
      <c r="B21" s="4" t="s">
        <v>263</v>
      </c>
      <c r="C21" s="21">
        <v>21.5</v>
      </c>
      <c r="E21" s="19"/>
      <c r="F21" s="5"/>
      <c r="H21" s="19"/>
      <c r="N21" s="39">
        <v>45555.0</v>
      </c>
      <c r="O21" s="40">
        <f t="shared" si="4"/>
        <v>47.36</v>
      </c>
      <c r="P21" s="5">
        <f t="shared" si="5"/>
        <v>839.36</v>
      </c>
      <c r="Q21" s="5">
        <f t="shared" si="2"/>
        <v>41.968</v>
      </c>
      <c r="R21" s="9">
        <f t="shared" si="3"/>
        <v>1259.04</v>
      </c>
    </row>
    <row r="22">
      <c r="A22" s="39">
        <v>45541.0</v>
      </c>
      <c r="B22" s="4" t="s">
        <v>127</v>
      </c>
      <c r="C22" s="21">
        <v>5.6</v>
      </c>
      <c r="E22" s="19"/>
      <c r="F22" s="5"/>
      <c r="H22" s="19"/>
      <c r="N22" s="39">
        <v>45556.0</v>
      </c>
      <c r="O22" s="40">
        <f t="shared" si="4"/>
        <v>68.15</v>
      </c>
      <c r="P22" s="5">
        <f t="shared" si="5"/>
        <v>907.51</v>
      </c>
      <c r="Q22" s="5">
        <f t="shared" si="2"/>
        <v>43.2147619</v>
      </c>
      <c r="R22" s="9">
        <f t="shared" si="3"/>
        <v>1296.442857</v>
      </c>
    </row>
    <row r="23">
      <c r="A23" s="39">
        <v>45541.0</v>
      </c>
      <c r="B23" s="4" t="s">
        <v>311</v>
      </c>
      <c r="C23" s="21">
        <v>46.6</v>
      </c>
      <c r="E23" s="19"/>
      <c r="F23" s="5"/>
      <c r="H23" s="19"/>
      <c r="N23" s="39">
        <v>45557.0</v>
      </c>
      <c r="O23" s="40">
        <f t="shared" si="4"/>
        <v>27.43</v>
      </c>
      <c r="P23" s="5">
        <f t="shared" si="5"/>
        <v>934.94</v>
      </c>
      <c r="Q23" s="5">
        <f t="shared" si="2"/>
        <v>42.49727273</v>
      </c>
      <c r="R23" s="9">
        <f t="shared" si="3"/>
        <v>1274.918182</v>
      </c>
    </row>
    <row r="24">
      <c r="A24" s="39">
        <v>45541.0</v>
      </c>
      <c r="B24" s="4" t="s">
        <v>140</v>
      </c>
      <c r="C24" s="21">
        <v>9.95</v>
      </c>
      <c r="E24" s="19"/>
      <c r="F24" s="5"/>
      <c r="H24" s="19"/>
      <c r="N24" s="39">
        <v>45558.0</v>
      </c>
      <c r="O24" s="40">
        <f t="shared" si="4"/>
        <v>0</v>
      </c>
      <c r="P24" s="5">
        <f t="shared" si="5"/>
        <v>934.94</v>
      </c>
      <c r="Q24" s="5">
        <f t="shared" si="2"/>
        <v>40.64956522</v>
      </c>
      <c r="R24" s="9">
        <f t="shared" si="3"/>
        <v>1219.486957</v>
      </c>
    </row>
    <row r="25">
      <c r="A25" s="39">
        <v>45542.0</v>
      </c>
      <c r="B25" s="4" t="s">
        <v>47</v>
      </c>
      <c r="C25" s="4">
        <v>5.2</v>
      </c>
      <c r="E25" s="19"/>
      <c r="F25" s="5"/>
      <c r="H25" s="19"/>
      <c r="N25" s="39">
        <v>45559.0</v>
      </c>
      <c r="O25" s="40">
        <f t="shared" si="4"/>
        <v>43.9</v>
      </c>
      <c r="P25" s="5">
        <f t="shared" si="5"/>
        <v>978.84</v>
      </c>
      <c r="Q25" s="5">
        <f t="shared" si="2"/>
        <v>40.785</v>
      </c>
      <c r="R25" s="9">
        <f t="shared" si="3"/>
        <v>1223.55</v>
      </c>
    </row>
    <row r="26">
      <c r="A26" s="39">
        <v>45542.0</v>
      </c>
      <c r="B26" s="4" t="s">
        <v>127</v>
      </c>
      <c r="C26" s="21">
        <v>3.7</v>
      </c>
      <c r="E26" s="19"/>
      <c r="F26" s="5"/>
      <c r="H26" s="19"/>
      <c r="N26" s="39">
        <v>45560.0</v>
      </c>
      <c r="O26" s="40">
        <f t="shared" si="4"/>
        <v>24.16</v>
      </c>
      <c r="P26" s="5">
        <f t="shared" si="5"/>
        <v>1003</v>
      </c>
      <c r="Q26" s="5">
        <f t="shared" si="2"/>
        <v>40.12</v>
      </c>
      <c r="R26" s="9">
        <f t="shared" si="3"/>
        <v>1203.6</v>
      </c>
    </row>
    <row r="27">
      <c r="A27" s="39">
        <v>45542.0</v>
      </c>
      <c r="B27" s="4" t="s">
        <v>45</v>
      </c>
      <c r="C27" s="21">
        <v>7.0</v>
      </c>
      <c r="E27" s="19"/>
      <c r="F27" s="5"/>
      <c r="H27" s="19"/>
      <c r="N27" s="39">
        <v>45561.0</v>
      </c>
      <c r="O27" s="40">
        <f t="shared" si="4"/>
        <v>9.33</v>
      </c>
      <c r="P27" s="5">
        <f t="shared" si="5"/>
        <v>1012.33</v>
      </c>
      <c r="Q27" s="5">
        <f t="shared" si="2"/>
        <v>38.93576923</v>
      </c>
      <c r="R27" s="9">
        <f t="shared" si="3"/>
        <v>1168.073077</v>
      </c>
    </row>
    <row r="28">
      <c r="A28" s="39">
        <v>45543.0</v>
      </c>
      <c r="B28" s="4" t="s">
        <v>59</v>
      </c>
      <c r="C28" s="21">
        <f>30.36-9</f>
        <v>21.36</v>
      </c>
      <c r="E28" s="19"/>
      <c r="F28" s="5"/>
      <c r="H28" s="19"/>
      <c r="N28" s="39">
        <v>45562.0</v>
      </c>
      <c r="O28" s="40">
        <f t="shared" si="4"/>
        <v>70</v>
      </c>
      <c r="P28" s="5">
        <f t="shared" si="5"/>
        <v>1082.33</v>
      </c>
      <c r="Q28" s="5">
        <f t="shared" si="2"/>
        <v>40.0862963</v>
      </c>
      <c r="R28" s="9">
        <f t="shared" si="3"/>
        <v>1202.588889</v>
      </c>
    </row>
    <row r="29">
      <c r="A29" s="39">
        <v>45544.0</v>
      </c>
      <c r="B29" s="4" t="s">
        <v>127</v>
      </c>
      <c r="C29" s="21">
        <v>7.3</v>
      </c>
      <c r="E29" s="19"/>
      <c r="F29" s="5"/>
      <c r="H29" s="19"/>
      <c r="N29" s="39">
        <v>45563.0</v>
      </c>
      <c r="O29" s="40">
        <f t="shared" si="4"/>
        <v>20</v>
      </c>
      <c r="P29" s="5">
        <f t="shared" si="5"/>
        <v>1102.33</v>
      </c>
      <c r="Q29" s="5">
        <f t="shared" si="2"/>
        <v>39.36892857</v>
      </c>
      <c r="R29" s="9">
        <f t="shared" si="3"/>
        <v>1181.067857</v>
      </c>
    </row>
    <row r="30">
      <c r="A30" s="39">
        <v>45544.0</v>
      </c>
      <c r="B30" s="4" t="s">
        <v>271</v>
      </c>
      <c r="C30" s="21">
        <v>10.02</v>
      </c>
      <c r="E30" s="19"/>
      <c r="F30" s="5"/>
      <c r="H30" s="19"/>
      <c r="N30" s="39">
        <v>45564.0</v>
      </c>
      <c r="O30" s="40">
        <f t="shared" si="4"/>
        <v>92.61</v>
      </c>
      <c r="P30" s="5">
        <f t="shared" si="5"/>
        <v>1194.94</v>
      </c>
      <c r="Q30" s="5">
        <f t="shared" si="2"/>
        <v>41.20482759</v>
      </c>
      <c r="R30" s="9">
        <f t="shared" si="3"/>
        <v>1236.144828</v>
      </c>
    </row>
    <row r="31">
      <c r="A31" s="39">
        <v>45544.0</v>
      </c>
      <c r="B31" s="4" t="s">
        <v>210</v>
      </c>
      <c r="C31" s="21">
        <v>8.74</v>
      </c>
      <c r="E31" s="19"/>
      <c r="F31" s="5"/>
      <c r="H31" s="19"/>
      <c r="N31" s="39">
        <v>45565.0</v>
      </c>
      <c r="O31" s="40">
        <f t="shared" si="4"/>
        <v>14</v>
      </c>
      <c r="P31" s="5">
        <f t="shared" si="5"/>
        <v>1208.94</v>
      </c>
      <c r="Q31" s="5">
        <f t="shared" si="2"/>
        <v>40.298</v>
      </c>
      <c r="R31" s="9">
        <f t="shared" si="3"/>
        <v>1208.94</v>
      </c>
    </row>
    <row r="32">
      <c r="A32" s="39">
        <v>45545.0</v>
      </c>
      <c r="B32" s="4" t="s">
        <v>230</v>
      </c>
      <c r="C32" s="21">
        <v>13.49</v>
      </c>
      <c r="E32" s="19"/>
      <c r="F32" s="5"/>
      <c r="H32" s="19"/>
      <c r="N32" s="39"/>
      <c r="Q32" s="5"/>
      <c r="R32" s="9"/>
    </row>
    <row r="33">
      <c r="A33" s="39">
        <v>45545.0</v>
      </c>
      <c r="B33" s="4" t="s">
        <v>47</v>
      </c>
      <c r="C33" s="4">
        <v>16.55</v>
      </c>
      <c r="E33" s="19"/>
      <c r="F33" s="5"/>
      <c r="H33" s="19"/>
      <c r="N33" s="39"/>
      <c r="Q33" s="5"/>
      <c r="R33" s="9"/>
    </row>
    <row r="34">
      <c r="A34" s="39">
        <v>45545.0</v>
      </c>
      <c r="B34" s="4" t="s">
        <v>127</v>
      </c>
      <c r="C34" s="21">
        <v>3.6</v>
      </c>
      <c r="E34" s="19"/>
      <c r="F34" s="5"/>
      <c r="H34" s="19"/>
      <c r="Q34" s="5"/>
      <c r="R34" s="9"/>
    </row>
    <row r="35">
      <c r="A35" s="39">
        <v>45546.0</v>
      </c>
      <c r="B35" s="4" t="s">
        <v>57</v>
      </c>
      <c r="C35" s="4">
        <v>2.03</v>
      </c>
      <c r="E35" s="19"/>
      <c r="F35" s="5"/>
      <c r="H35" s="19"/>
      <c r="Q35" s="5"/>
      <c r="R35" s="9"/>
    </row>
    <row r="36">
      <c r="A36" s="39">
        <v>45547.0</v>
      </c>
      <c r="B36" s="4" t="s">
        <v>57</v>
      </c>
      <c r="C36" s="21">
        <v>4.23</v>
      </c>
      <c r="E36" s="19"/>
      <c r="F36" s="5"/>
      <c r="H36" s="19"/>
      <c r="Q36" s="5"/>
      <c r="R36" s="9"/>
    </row>
    <row r="37">
      <c r="A37" s="39">
        <v>45547.0</v>
      </c>
      <c r="B37" s="4" t="s">
        <v>47</v>
      </c>
      <c r="C37" s="21">
        <v>17.43</v>
      </c>
      <c r="E37" s="19"/>
      <c r="F37" s="5"/>
      <c r="H37" s="19"/>
      <c r="Q37" s="5"/>
      <c r="R37" s="9"/>
    </row>
    <row r="38">
      <c r="A38" s="39">
        <v>45547.0</v>
      </c>
      <c r="B38" s="4" t="s">
        <v>312</v>
      </c>
      <c r="C38" s="21">
        <v>20.0</v>
      </c>
      <c r="E38" s="19"/>
      <c r="F38" s="5"/>
      <c r="H38" s="19"/>
      <c r="Q38" s="5"/>
      <c r="R38" s="9"/>
    </row>
    <row r="39">
      <c r="A39" s="39">
        <v>45547.0</v>
      </c>
      <c r="B39" s="4" t="s">
        <v>313</v>
      </c>
      <c r="C39" s="21">
        <v>33.95</v>
      </c>
      <c r="E39" s="19"/>
      <c r="F39" s="5"/>
      <c r="H39" s="19"/>
      <c r="Q39" s="5"/>
      <c r="R39" s="9"/>
    </row>
    <row r="40">
      <c r="A40" s="39">
        <v>45548.0</v>
      </c>
      <c r="B40" s="4" t="s">
        <v>127</v>
      </c>
      <c r="C40" s="21">
        <v>3.6</v>
      </c>
      <c r="E40" s="19"/>
      <c r="F40" s="5"/>
      <c r="H40" s="19"/>
      <c r="Q40" s="5"/>
      <c r="R40" s="9"/>
    </row>
    <row r="41">
      <c r="A41" s="39">
        <v>45548.0</v>
      </c>
      <c r="B41" s="4" t="s">
        <v>59</v>
      </c>
      <c r="C41" s="21">
        <v>22.69</v>
      </c>
      <c r="E41" s="19"/>
      <c r="F41" s="5"/>
      <c r="H41" s="19"/>
      <c r="Q41" s="5"/>
      <c r="R41" s="9"/>
    </row>
    <row r="42">
      <c r="A42" s="39">
        <v>45549.0</v>
      </c>
      <c r="B42" s="4" t="s">
        <v>45</v>
      </c>
      <c r="C42" s="21">
        <v>17.5</v>
      </c>
      <c r="E42" s="19"/>
      <c r="F42" s="5"/>
      <c r="H42" s="19"/>
      <c r="Q42" s="5"/>
      <c r="R42" s="9"/>
    </row>
    <row r="43">
      <c r="A43" s="39">
        <v>45549.0</v>
      </c>
      <c r="B43" s="4" t="s">
        <v>47</v>
      </c>
      <c r="C43" s="21">
        <v>4.8</v>
      </c>
      <c r="E43" s="19"/>
      <c r="F43" s="5"/>
      <c r="H43" s="19"/>
      <c r="Q43" s="5"/>
      <c r="R43" s="9"/>
    </row>
    <row r="44">
      <c r="A44" s="39">
        <v>45549.0</v>
      </c>
      <c r="B44" s="4" t="s">
        <v>119</v>
      </c>
      <c r="C44" s="21">
        <v>9.99</v>
      </c>
      <c r="E44" s="19"/>
      <c r="F44" s="5"/>
      <c r="H44" s="19"/>
      <c r="Q44" s="5"/>
      <c r="R44" s="9"/>
    </row>
    <row r="45">
      <c r="A45" s="39">
        <v>45549.0</v>
      </c>
      <c r="B45" s="4" t="s">
        <v>314</v>
      </c>
      <c r="C45" s="21">
        <v>10.0</v>
      </c>
      <c r="E45" s="19"/>
      <c r="F45" s="5"/>
      <c r="H45" s="19"/>
      <c r="Q45" s="5"/>
      <c r="R45" s="9"/>
    </row>
    <row r="46">
      <c r="A46" s="39">
        <v>45549.0</v>
      </c>
      <c r="B46" s="4" t="s">
        <v>57</v>
      </c>
      <c r="C46" s="21">
        <v>1.29</v>
      </c>
      <c r="E46" s="19"/>
      <c r="F46" s="5"/>
      <c r="H46" s="19"/>
      <c r="Q46" s="5"/>
      <c r="R46" s="9"/>
    </row>
    <row r="47">
      <c r="A47" s="39">
        <v>45549.0</v>
      </c>
      <c r="B47" s="4" t="s">
        <v>45</v>
      </c>
      <c r="C47" s="21">
        <v>7.45</v>
      </c>
      <c r="E47" s="19"/>
      <c r="F47" s="5"/>
      <c r="H47" s="19"/>
      <c r="Q47" s="5"/>
      <c r="R47" s="9"/>
    </row>
    <row r="48">
      <c r="A48" s="39">
        <v>45549.0</v>
      </c>
      <c r="B48" s="4" t="s">
        <v>210</v>
      </c>
      <c r="C48" s="21">
        <v>14.95</v>
      </c>
      <c r="E48" s="19"/>
      <c r="F48" s="5"/>
      <c r="H48" s="19"/>
      <c r="Q48" s="5"/>
      <c r="R48" s="9"/>
    </row>
    <row r="49">
      <c r="A49" s="39">
        <v>45549.0</v>
      </c>
      <c r="B49" s="4" t="s">
        <v>45</v>
      </c>
      <c r="C49" s="21">
        <v>19.2</v>
      </c>
      <c r="E49" s="19"/>
      <c r="F49" s="5"/>
      <c r="H49" s="19"/>
      <c r="Q49" s="5"/>
      <c r="R49" s="9"/>
    </row>
    <row r="50">
      <c r="A50" s="39">
        <v>45550.0</v>
      </c>
      <c r="B50" s="4" t="s">
        <v>209</v>
      </c>
      <c r="C50" s="21">
        <v>3.9</v>
      </c>
      <c r="E50" s="19"/>
      <c r="F50" s="5"/>
      <c r="H50" s="19"/>
      <c r="Q50" s="5"/>
      <c r="R50" s="9"/>
    </row>
    <row r="51">
      <c r="A51" s="39">
        <v>45550.0</v>
      </c>
      <c r="B51" s="4" t="s">
        <v>312</v>
      </c>
      <c r="C51" s="21">
        <v>44.99</v>
      </c>
      <c r="E51" s="19"/>
      <c r="F51" s="5"/>
      <c r="H51" s="19"/>
      <c r="Q51" s="5"/>
      <c r="R51" s="9"/>
    </row>
    <row r="52">
      <c r="A52" s="39">
        <v>45550.0</v>
      </c>
      <c r="B52" s="4" t="s">
        <v>45</v>
      </c>
      <c r="C52" s="21">
        <v>17.2</v>
      </c>
      <c r="E52" s="19"/>
      <c r="F52" s="5"/>
      <c r="H52" s="19"/>
      <c r="Q52" s="5"/>
      <c r="R52" s="9"/>
    </row>
    <row r="53">
      <c r="A53" s="39">
        <v>45550.0</v>
      </c>
      <c r="B53" s="4" t="s">
        <v>127</v>
      </c>
      <c r="C53" s="21">
        <v>7.6</v>
      </c>
      <c r="E53" s="19"/>
      <c r="F53" s="5"/>
      <c r="H53" s="19"/>
      <c r="Q53" s="5"/>
      <c r="R53" s="9"/>
    </row>
    <row r="54">
      <c r="A54" s="39">
        <v>45550.0</v>
      </c>
      <c r="B54" s="4" t="s">
        <v>52</v>
      </c>
      <c r="C54" s="21">
        <v>16.54</v>
      </c>
      <c r="E54" s="19"/>
      <c r="F54" s="5"/>
      <c r="H54" s="19"/>
      <c r="Q54" s="5"/>
      <c r="R54" s="9"/>
    </row>
    <row r="55">
      <c r="A55" s="39">
        <v>45551.0</v>
      </c>
      <c r="B55" s="4" t="s">
        <v>127</v>
      </c>
      <c r="C55" s="21">
        <v>8.5</v>
      </c>
      <c r="E55" s="19"/>
      <c r="F55" s="5"/>
      <c r="H55" s="19"/>
      <c r="Q55" s="5"/>
      <c r="R55" s="9"/>
    </row>
    <row r="56">
      <c r="A56" s="39">
        <v>45551.0</v>
      </c>
      <c r="B56" s="4" t="s">
        <v>298</v>
      </c>
      <c r="C56" s="4">
        <f>27/5</f>
        <v>5.4</v>
      </c>
      <c r="E56" s="19"/>
      <c r="F56" s="5"/>
      <c r="H56" s="19"/>
      <c r="Q56" s="5"/>
      <c r="R56" s="9"/>
    </row>
    <row r="57">
      <c r="A57" s="39">
        <v>45553.0</v>
      </c>
      <c r="B57" s="4" t="s">
        <v>64</v>
      </c>
      <c r="C57" s="43">
        <v>19.26</v>
      </c>
      <c r="E57" s="19"/>
      <c r="F57" s="5"/>
      <c r="H57" s="19"/>
      <c r="Q57" s="5"/>
      <c r="R57" s="9"/>
    </row>
    <row r="58">
      <c r="A58" s="39">
        <v>45553.0</v>
      </c>
      <c r="B58" s="4" t="s">
        <v>140</v>
      </c>
      <c r="C58" s="21">
        <v>12.0</v>
      </c>
      <c r="E58" s="19"/>
      <c r="F58" s="5"/>
      <c r="H58" s="19"/>
      <c r="Q58" s="5"/>
      <c r="R58" s="9"/>
    </row>
    <row r="59">
      <c r="A59" s="39">
        <v>45553.0</v>
      </c>
      <c r="B59" s="4" t="s">
        <v>47</v>
      </c>
      <c r="C59" s="21">
        <v>7.75</v>
      </c>
      <c r="E59" s="19"/>
      <c r="F59" s="5"/>
      <c r="H59" s="19"/>
      <c r="Q59" s="5"/>
      <c r="R59" s="9"/>
    </row>
    <row r="60">
      <c r="A60" s="39">
        <v>45554.0</v>
      </c>
      <c r="B60" s="4" t="s">
        <v>315</v>
      </c>
      <c r="C60" s="21">
        <v>38.33</v>
      </c>
      <c r="E60" s="19"/>
      <c r="F60" s="5"/>
      <c r="H60" s="19"/>
      <c r="Q60" s="5"/>
      <c r="R60" s="9"/>
    </row>
    <row r="61">
      <c r="A61" s="39">
        <v>45554.0</v>
      </c>
      <c r="B61" s="4" t="s">
        <v>316</v>
      </c>
      <c r="C61" s="21">
        <v>36.74</v>
      </c>
      <c r="E61" s="19"/>
      <c r="F61" s="5"/>
      <c r="H61" s="19"/>
      <c r="Q61" s="5"/>
      <c r="R61" s="9"/>
    </row>
    <row r="62">
      <c r="A62" s="39">
        <v>45554.0</v>
      </c>
      <c r="B62" s="4" t="s">
        <v>45</v>
      </c>
      <c r="C62" s="21">
        <v>11.2</v>
      </c>
      <c r="E62" s="19"/>
      <c r="F62" s="5"/>
      <c r="H62" s="19"/>
      <c r="Q62" s="5"/>
      <c r="R62" s="9"/>
    </row>
    <row r="63">
      <c r="A63" s="39">
        <v>45554.0</v>
      </c>
      <c r="B63" s="4" t="s">
        <v>127</v>
      </c>
      <c r="C63" s="21">
        <v>6.8</v>
      </c>
      <c r="E63" s="19"/>
      <c r="F63" s="5"/>
      <c r="H63" s="19"/>
      <c r="Q63" s="5"/>
      <c r="R63" s="9"/>
    </row>
    <row r="64">
      <c r="A64" s="39">
        <v>45554.0</v>
      </c>
      <c r="B64" s="4" t="s">
        <v>45</v>
      </c>
      <c r="C64" s="21">
        <v>7.3</v>
      </c>
      <c r="E64" s="19"/>
      <c r="F64" s="5"/>
      <c r="H64" s="19"/>
      <c r="Q64" s="5"/>
      <c r="R64" s="9"/>
    </row>
    <row r="65">
      <c r="A65" s="39">
        <v>45555.0</v>
      </c>
      <c r="B65" s="4" t="s">
        <v>52</v>
      </c>
      <c r="C65" s="21">
        <f>25.42+21.94</f>
        <v>47.36</v>
      </c>
      <c r="E65" s="19"/>
      <c r="F65" s="5"/>
      <c r="H65" s="19"/>
      <c r="Q65" s="5"/>
      <c r="R65" s="9"/>
    </row>
    <row r="66">
      <c r="A66" s="39">
        <v>45556.0</v>
      </c>
      <c r="B66" s="4" t="s">
        <v>317</v>
      </c>
      <c r="C66" s="21">
        <v>26.0</v>
      </c>
      <c r="E66" s="19"/>
      <c r="F66" s="5"/>
      <c r="H66" s="19"/>
      <c r="Q66" s="5"/>
      <c r="R66" s="9"/>
    </row>
    <row r="67">
      <c r="A67" s="39">
        <v>45556.0</v>
      </c>
      <c r="B67" s="4" t="s">
        <v>52</v>
      </c>
      <c r="C67" s="21">
        <v>13.25</v>
      </c>
      <c r="E67" s="19"/>
      <c r="F67" s="5"/>
      <c r="H67" s="19"/>
      <c r="Q67" s="5"/>
      <c r="R67" s="9"/>
    </row>
    <row r="68">
      <c r="A68" s="39">
        <v>45556.0</v>
      </c>
      <c r="B68" s="4" t="s">
        <v>45</v>
      </c>
      <c r="C68" s="21">
        <v>21.6</v>
      </c>
      <c r="E68" s="19"/>
      <c r="F68" s="5"/>
      <c r="H68" s="19"/>
      <c r="Q68" s="5"/>
      <c r="R68" s="9"/>
    </row>
    <row r="69">
      <c r="A69" s="39">
        <v>45556.0</v>
      </c>
      <c r="B69" s="4" t="s">
        <v>45</v>
      </c>
      <c r="C69" s="21">
        <v>7.3</v>
      </c>
      <c r="E69" s="19"/>
      <c r="F69" s="5"/>
      <c r="H69" s="19"/>
      <c r="Q69" s="5"/>
      <c r="R69" s="9"/>
    </row>
    <row r="70">
      <c r="A70" s="39">
        <v>45557.0</v>
      </c>
      <c r="B70" s="4" t="s">
        <v>45</v>
      </c>
      <c r="C70" s="21">
        <v>10.26</v>
      </c>
      <c r="E70" s="19"/>
      <c r="F70" s="5"/>
      <c r="H70" s="19"/>
      <c r="Q70" s="5"/>
      <c r="R70" s="9"/>
    </row>
    <row r="71">
      <c r="A71" s="39">
        <v>45557.0</v>
      </c>
      <c r="B71" s="4" t="s">
        <v>73</v>
      </c>
      <c r="C71" s="21">
        <v>15.37</v>
      </c>
      <c r="E71" s="19"/>
      <c r="F71" s="5"/>
      <c r="H71" s="19"/>
      <c r="Q71" s="5"/>
      <c r="R71" s="9"/>
    </row>
    <row r="72">
      <c r="A72" s="39">
        <v>45557.0</v>
      </c>
      <c r="B72" s="4" t="s">
        <v>127</v>
      </c>
      <c r="C72" s="21">
        <v>1.8</v>
      </c>
      <c r="E72" s="19"/>
      <c r="F72" s="5"/>
      <c r="H72" s="19"/>
      <c r="Q72" s="5"/>
      <c r="R72" s="9"/>
    </row>
    <row r="73">
      <c r="A73" s="39">
        <v>45559.0</v>
      </c>
      <c r="B73" s="4" t="s">
        <v>57</v>
      </c>
      <c r="C73" s="21">
        <v>8.1</v>
      </c>
      <c r="E73" s="19"/>
      <c r="F73" s="5"/>
      <c r="H73" s="19"/>
      <c r="Q73" s="5"/>
      <c r="R73" s="9"/>
    </row>
    <row r="74">
      <c r="A74" s="39">
        <v>45559.0</v>
      </c>
      <c r="B74" s="4" t="s">
        <v>318</v>
      </c>
      <c r="C74" s="21">
        <f>28</f>
        <v>28</v>
      </c>
      <c r="E74" s="19"/>
      <c r="F74" s="5"/>
      <c r="H74" s="19"/>
      <c r="Q74" s="5"/>
      <c r="R74" s="9"/>
    </row>
    <row r="75">
      <c r="A75" s="39">
        <v>45559.0</v>
      </c>
      <c r="B75" s="4" t="s">
        <v>47</v>
      </c>
      <c r="C75" s="21">
        <f>1.35+6.45</f>
        <v>7.8</v>
      </c>
      <c r="E75" s="19"/>
      <c r="F75" s="5"/>
      <c r="H75" s="19"/>
      <c r="Q75" s="5"/>
      <c r="R75" s="9"/>
    </row>
    <row r="76">
      <c r="A76" s="39">
        <v>45560.0</v>
      </c>
      <c r="B76" s="4" t="s">
        <v>47</v>
      </c>
      <c r="C76" s="21">
        <v>20.16</v>
      </c>
      <c r="E76" s="19"/>
      <c r="F76" s="5"/>
      <c r="H76" s="19"/>
      <c r="Q76" s="5"/>
      <c r="R76" s="9"/>
    </row>
    <row r="77">
      <c r="A77" s="39">
        <v>45560.0</v>
      </c>
      <c r="B77" s="4" t="s">
        <v>127</v>
      </c>
      <c r="C77" s="21">
        <v>4.0</v>
      </c>
      <c r="E77" s="19"/>
      <c r="F77" s="5"/>
      <c r="H77" s="19"/>
      <c r="Q77" s="5"/>
      <c r="R77" s="9"/>
    </row>
    <row r="78">
      <c r="A78" s="39">
        <v>45561.0</v>
      </c>
      <c r="B78" s="4" t="s">
        <v>59</v>
      </c>
      <c r="C78" s="4">
        <v>7.68</v>
      </c>
      <c r="E78" s="19"/>
      <c r="F78" s="5"/>
      <c r="H78" s="19"/>
      <c r="Q78" s="5"/>
      <c r="R78" s="9"/>
    </row>
    <row r="79">
      <c r="A79" s="39">
        <v>45561.0</v>
      </c>
      <c r="B79" s="4" t="s">
        <v>47</v>
      </c>
      <c r="C79" s="4">
        <f>3.15-1.5</f>
        <v>1.65</v>
      </c>
      <c r="E79" s="19"/>
      <c r="F79" s="5"/>
      <c r="H79" s="19"/>
      <c r="Q79" s="5"/>
      <c r="R79" s="9"/>
    </row>
    <row r="80">
      <c r="A80" s="39">
        <v>45562.0</v>
      </c>
      <c r="B80" s="4" t="s">
        <v>281</v>
      </c>
      <c r="C80" s="21">
        <f>70</f>
        <v>70</v>
      </c>
      <c r="E80" s="19"/>
      <c r="F80" s="5"/>
      <c r="H80" s="19"/>
      <c r="Q80" s="5"/>
      <c r="R80" s="9"/>
    </row>
    <row r="81">
      <c r="A81" s="39">
        <v>45563.0</v>
      </c>
      <c r="B81" s="4" t="s">
        <v>62</v>
      </c>
      <c r="C81" s="21">
        <v>12.8</v>
      </c>
      <c r="E81" s="19"/>
      <c r="F81" s="5"/>
      <c r="H81" s="19"/>
      <c r="Q81" s="5"/>
      <c r="R81" s="9"/>
    </row>
    <row r="82">
      <c r="A82" s="39">
        <v>45563.0</v>
      </c>
      <c r="B82" s="4" t="s">
        <v>47</v>
      </c>
      <c r="C82" s="21">
        <v>5.1</v>
      </c>
      <c r="E82" s="19"/>
      <c r="F82" s="5"/>
      <c r="H82" s="19"/>
      <c r="Q82" s="5"/>
      <c r="R82" s="9"/>
    </row>
    <row r="83">
      <c r="A83" s="39">
        <v>45563.0</v>
      </c>
      <c r="B83" s="4" t="s">
        <v>127</v>
      </c>
      <c r="C83" s="21">
        <v>2.1</v>
      </c>
      <c r="E83" s="19"/>
      <c r="F83" s="5"/>
      <c r="H83" s="19"/>
      <c r="Q83" s="5"/>
      <c r="R83" s="9"/>
    </row>
    <row r="84">
      <c r="A84" s="39">
        <v>45564.0</v>
      </c>
      <c r="B84" s="4" t="s">
        <v>47</v>
      </c>
      <c r="C84" s="21">
        <v>1.2</v>
      </c>
      <c r="E84" s="19"/>
      <c r="F84" s="5"/>
      <c r="H84" s="19"/>
      <c r="Q84" s="5"/>
      <c r="R84" s="9"/>
    </row>
    <row r="85">
      <c r="A85" s="39">
        <v>45564.0</v>
      </c>
      <c r="B85" s="4" t="s">
        <v>319</v>
      </c>
      <c r="C85" s="21">
        <v>4.5</v>
      </c>
      <c r="E85" s="19"/>
      <c r="F85" s="5"/>
      <c r="H85" s="19"/>
      <c r="Q85" s="5"/>
      <c r="R85" s="9"/>
    </row>
    <row r="86">
      <c r="A86" s="39">
        <v>45564.0</v>
      </c>
      <c r="B86" s="4" t="s">
        <v>210</v>
      </c>
      <c r="C86" s="21">
        <v>76.95</v>
      </c>
      <c r="E86" s="19"/>
      <c r="F86" s="5"/>
      <c r="H86" s="19"/>
      <c r="Q86" s="5"/>
      <c r="R86" s="9"/>
    </row>
    <row r="87">
      <c r="A87" s="39">
        <v>45564.0</v>
      </c>
      <c r="B87" s="4" t="s">
        <v>76</v>
      </c>
      <c r="C87" s="21">
        <v>3.4</v>
      </c>
      <c r="E87" s="19"/>
      <c r="F87" s="5"/>
      <c r="H87" s="19"/>
      <c r="Q87" s="5"/>
      <c r="R87" s="9"/>
    </row>
    <row r="88">
      <c r="A88" s="39">
        <v>45564.0</v>
      </c>
      <c r="B88" s="4" t="s">
        <v>59</v>
      </c>
      <c r="C88" s="21">
        <v>3.06</v>
      </c>
      <c r="E88" s="19"/>
      <c r="F88" s="5"/>
      <c r="H88" s="19"/>
      <c r="Q88" s="5"/>
      <c r="R88" s="9"/>
    </row>
    <row r="89">
      <c r="A89" s="39">
        <v>45564.0</v>
      </c>
      <c r="B89" s="4" t="s">
        <v>127</v>
      </c>
      <c r="C89" s="21">
        <v>3.5</v>
      </c>
      <c r="E89" s="19"/>
      <c r="F89" s="5"/>
      <c r="H89" s="19"/>
      <c r="Q89" s="5"/>
      <c r="R89" s="9"/>
    </row>
    <row r="90">
      <c r="A90" s="39">
        <v>45565.0</v>
      </c>
      <c r="B90" s="4" t="s">
        <v>110</v>
      </c>
      <c r="C90" s="21">
        <v>14.0</v>
      </c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N1:N999">
    <cfRule type="timePeriod" dxfId="4" priority="1" timePeriod="today"/>
  </conditionalFormatting>
  <conditionalFormatting sqref="N1:N999">
    <cfRule type="timePeriod" dxfId="5" priority="2" timePeriod="today"/>
  </conditionalFormatting>
  <conditionalFormatting sqref="O1:O999 Q1:Q999">
    <cfRule type="cellIs" dxfId="0" priority="3" operator="lessThan">
      <formula>25</formula>
    </cfRule>
  </conditionalFormatting>
  <conditionalFormatting sqref="O1:O999 Q1:Q999">
    <cfRule type="cellIs" dxfId="6" priority="4" operator="lessThan">
      <formula>35</formula>
    </cfRule>
  </conditionalFormatting>
  <conditionalFormatting sqref="O1:O999 Q1:Q999">
    <cfRule type="cellIs" dxfId="1" priority="5" operator="greaterThanOrEqual">
      <formula>35</formula>
    </cfRule>
  </conditionalFormatting>
  <conditionalFormatting sqref="I1">
    <cfRule type="cellIs" dxfId="1" priority="6" operator="lessThan">
      <formula>0</formula>
    </cfRule>
  </conditionalFormatting>
  <conditionalFormatting sqref="I1">
    <cfRule type="cellIs" dxfId="0" priority="7" operator="greaterThan">
      <formula>0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73.56</v>
      </c>
      <c r="H1" s="1" t="s">
        <v>46</v>
      </c>
      <c r="I1" s="5">
        <f>I6-I7</f>
        <v>252.35</v>
      </c>
      <c r="J1" s="19"/>
      <c r="K1" s="1" t="s">
        <v>47</v>
      </c>
      <c r="L1" s="5">
        <f t="shared" ref="L1:L5" si="1">SUMIF(B:B,K1,C:I)</f>
        <v>139.53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9"/>
      <c r="U1" s="19"/>
      <c r="V1" s="19"/>
      <c r="W1" s="19"/>
      <c r="X1" s="19"/>
      <c r="Y1" s="19"/>
      <c r="Z1" s="19"/>
    </row>
    <row r="2">
      <c r="A2" s="39">
        <v>45505.0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55.23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10.15</v>
      </c>
      <c r="N2" s="39">
        <v>45505.0</v>
      </c>
      <c r="O2" s="5">
        <f>sumif(A:A,N2,C:C)-sum(C2:C5)</f>
        <v>60.36</v>
      </c>
      <c r="P2" s="5">
        <f>SUM(O2)</f>
        <v>60.36</v>
      </c>
      <c r="Q2" s="5">
        <f t="shared" ref="Q2:Q32" si="2">P2/(ROW()-1)</f>
        <v>60.36</v>
      </c>
      <c r="R2" s="9">
        <f t="shared" ref="R2:R32" si="3">count(N:N)*Q2</f>
        <v>1871.16</v>
      </c>
    </row>
    <row r="3">
      <c r="A3" s="39">
        <v>45505.0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0</v>
      </c>
      <c r="H3" s="1" t="s">
        <v>8</v>
      </c>
      <c r="I3" s="5">
        <f>SUMIF(B:B,H3,C:C)+I1</f>
        <v>502.35</v>
      </c>
      <c r="K3" s="1" t="s">
        <v>56</v>
      </c>
      <c r="L3" s="5">
        <f t="shared" si="1"/>
        <v>0</v>
      </c>
      <c r="N3" s="39">
        <v>45506.0</v>
      </c>
      <c r="O3" s="40">
        <f t="shared" ref="O3:O32" si="4">sumif(A:A,N3,C:C)</f>
        <v>60.45</v>
      </c>
      <c r="P3" s="5">
        <f t="shared" ref="P3:P32" si="5">P2+O3</f>
        <v>120.81</v>
      </c>
      <c r="Q3" s="5">
        <f t="shared" si="2"/>
        <v>60.405</v>
      </c>
      <c r="R3" s="9">
        <f t="shared" si="3"/>
        <v>1872.555</v>
      </c>
    </row>
    <row r="4">
      <c r="A4" s="39">
        <v>45505.0</v>
      </c>
      <c r="B4" s="4" t="s">
        <v>6</v>
      </c>
      <c r="C4" s="21">
        <v>250.0</v>
      </c>
      <c r="E4" s="1" t="s">
        <v>140</v>
      </c>
      <c r="F4" s="5">
        <f t="shared" ref="F4:F5" si="6">SUMIF(B:B,E4,C:C)</f>
        <v>26.48</v>
      </c>
      <c r="H4" s="1" t="s">
        <v>58</v>
      </c>
      <c r="I4" s="5">
        <f>I2+I3</f>
        <v>752.35</v>
      </c>
      <c r="K4" s="1" t="s">
        <v>59</v>
      </c>
      <c r="L4" s="5">
        <f t="shared" si="1"/>
        <v>61.11</v>
      </c>
      <c r="N4" s="39">
        <v>45507.0</v>
      </c>
      <c r="O4" s="40">
        <f t="shared" si="4"/>
        <v>34.03</v>
      </c>
      <c r="P4" s="5">
        <f t="shared" si="5"/>
        <v>154.84</v>
      </c>
      <c r="Q4" s="5">
        <f t="shared" si="2"/>
        <v>51.61333333</v>
      </c>
      <c r="R4" s="9">
        <f t="shared" si="3"/>
        <v>1600.013333</v>
      </c>
    </row>
    <row r="5">
      <c r="A5" s="39">
        <v>45505.0</v>
      </c>
      <c r="B5" s="4" t="s">
        <v>252</v>
      </c>
      <c r="C5" s="21">
        <v>9.0</v>
      </c>
      <c r="E5" s="1" t="s">
        <v>210</v>
      </c>
      <c r="F5" s="5">
        <f t="shared" si="6"/>
        <v>98.57</v>
      </c>
      <c r="K5" s="1" t="s">
        <v>62</v>
      </c>
      <c r="L5" s="5">
        <f t="shared" si="1"/>
        <v>48.63</v>
      </c>
      <c r="N5" s="39">
        <v>45508.0</v>
      </c>
      <c r="O5" s="40">
        <f t="shared" si="4"/>
        <v>49.59</v>
      </c>
      <c r="P5" s="5">
        <f t="shared" si="5"/>
        <v>204.43</v>
      </c>
      <c r="Q5" s="5">
        <f t="shared" si="2"/>
        <v>51.1075</v>
      </c>
      <c r="R5" s="9">
        <f t="shared" si="3"/>
        <v>1584.3325</v>
      </c>
    </row>
    <row r="6">
      <c r="A6" s="39">
        <v>45505.0</v>
      </c>
      <c r="B6" s="4" t="s">
        <v>127</v>
      </c>
      <c r="C6" s="4">
        <v>6.8</v>
      </c>
      <c r="E6" s="1" t="s">
        <v>57</v>
      </c>
      <c r="F6" s="5">
        <f>sum(L:L)+sumif(B:B,"Groceries",C:C)</f>
        <v>269.54</v>
      </c>
      <c r="H6" s="1" t="s">
        <v>65</v>
      </c>
      <c r="I6" s="21">
        <v>2988.58</v>
      </c>
      <c r="N6" s="39">
        <v>45509.0</v>
      </c>
      <c r="O6" s="40">
        <f t="shared" si="4"/>
        <v>0</v>
      </c>
      <c r="P6" s="5">
        <f t="shared" si="5"/>
        <v>204.43</v>
      </c>
      <c r="Q6" s="5">
        <f t="shared" si="2"/>
        <v>40.886</v>
      </c>
      <c r="R6" s="9">
        <f t="shared" si="3"/>
        <v>1267.466</v>
      </c>
    </row>
    <row r="7">
      <c r="A7" s="39">
        <v>45505.0</v>
      </c>
      <c r="B7" s="4" t="s">
        <v>320</v>
      </c>
      <c r="C7" s="21">
        <v>23.99</v>
      </c>
      <c r="E7" s="42" t="s">
        <v>61</v>
      </c>
      <c r="F7" s="5">
        <f>SUMIF(B:B,"Games",C:C)+SUMIF(B:B,"Spotify",C:C)+SUMIF(B:B,"Streaming",C:C)+SUMIF(B:B,"Book",C:C)+SUMIF(B:B,"Audible",C:C)+SUMIF(B:B,"Cinema",C:C)+SUMIF(B:B,"Theatre",C:C)</f>
        <v>30.38</v>
      </c>
      <c r="H7" s="1" t="s">
        <v>68</v>
      </c>
      <c r="I7" s="5">
        <f>sum(C:C)</f>
        <v>2736.23</v>
      </c>
      <c r="N7" s="39">
        <v>45510.0</v>
      </c>
      <c r="O7" s="40">
        <f t="shared" si="4"/>
        <v>19.95</v>
      </c>
      <c r="P7" s="5">
        <f t="shared" si="5"/>
        <v>224.38</v>
      </c>
      <c r="Q7" s="5">
        <f t="shared" si="2"/>
        <v>37.39666667</v>
      </c>
      <c r="R7" s="9">
        <f t="shared" si="3"/>
        <v>1159.296667</v>
      </c>
    </row>
    <row r="8">
      <c r="A8" s="39">
        <v>45505.0</v>
      </c>
      <c r="B8" s="4" t="s">
        <v>321</v>
      </c>
      <c r="C8" s="21">
        <v>22.48</v>
      </c>
      <c r="E8" s="1" t="s">
        <v>64</v>
      </c>
      <c r="F8" s="5">
        <f>SUMIF(B:B,E8,C:C)+SUMIF(B:B,"Shoes",C:C)</f>
        <v>43</v>
      </c>
      <c r="H8" s="1" t="s">
        <v>72</v>
      </c>
      <c r="I8" s="5">
        <f>sum(F:F)+I2+C2</f>
        <v>2485.29</v>
      </c>
      <c r="N8" s="39">
        <v>45511.0</v>
      </c>
      <c r="O8" s="40">
        <f t="shared" si="4"/>
        <v>29.5</v>
      </c>
      <c r="P8" s="5">
        <f t="shared" si="5"/>
        <v>253.88</v>
      </c>
      <c r="Q8" s="5">
        <f t="shared" si="2"/>
        <v>36.26857143</v>
      </c>
      <c r="R8" s="9">
        <f t="shared" si="3"/>
        <v>1124.325714</v>
      </c>
    </row>
    <row r="9">
      <c r="A9" s="39">
        <v>45505.0</v>
      </c>
      <c r="B9" s="4" t="s">
        <v>140</v>
      </c>
      <c r="C9" s="21">
        <v>7.09</v>
      </c>
      <c r="E9" s="1" t="s">
        <v>54</v>
      </c>
      <c r="F9" s="5">
        <f>SUMIF(B:B,E9,C:C)+SUMIF(B:B,"Phone",C:C)</f>
        <v>1114</v>
      </c>
      <c r="H9" s="1" t="s">
        <v>74</v>
      </c>
      <c r="I9" s="5">
        <f>I7-I8</f>
        <v>250.94</v>
      </c>
      <c r="N9" s="39">
        <v>45512.0</v>
      </c>
      <c r="O9" s="40">
        <f t="shared" si="4"/>
        <v>16.19</v>
      </c>
      <c r="P9" s="5">
        <f t="shared" si="5"/>
        <v>270.07</v>
      </c>
      <c r="Q9" s="5">
        <f t="shared" si="2"/>
        <v>33.75875</v>
      </c>
      <c r="R9" s="9">
        <f t="shared" si="3"/>
        <v>1046.52125</v>
      </c>
    </row>
    <row r="10">
      <c r="A10" s="39">
        <v>45506.0</v>
      </c>
      <c r="B10" s="4" t="s">
        <v>322</v>
      </c>
      <c r="C10" s="21">
        <v>9.95</v>
      </c>
      <c r="E10" s="1" t="s">
        <v>127</v>
      </c>
      <c r="F10" s="5">
        <f>SUMIF(B:B,E10,C:C)</f>
        <v>64.2</v>
      </c>
      <c r="N10" s="39">
        <v>45513.0</v>
      </c>
      <c r="O10" s="40">
        <f t="shared" si="4"/>
        <v>31.53</v>
      </c>
      <c r="P10" s="5">
        <f t="shared" si="5"/>
        <v>301.6</v>
      </c>
      <c r="Q10" s="5">
        <f t="shared" si="2"/>
        <v>33.51111111</v>
      </c>
      <c r="R10" s="9">
        <f t="shared" si="3"/>
        <v>1038.844444</v>
      </c>
    </row>
    <row r="11">
      <c r="A11" s="39">
        <v>45506.0</v>
      </c>
      <c r="B11" s="4" t="s">
        <v>47</v>
      </c>
      <c r="C11" s="21">
        <v>4.0</v>
      </c>
      <c r="E11" s="1" t="s">
        <v>73</v>
      </c>
      <c r="F11" s="5">
        <f>SUMIF(B:B,"Uber",C:C)</f>
        <v>12.02</v>
      </c>
      <c r="H11" s="1" t="s">
        <v>3</v>
      </c>
      <c r="I11" s="28">
        <f>I4/I6</f>
        <v>0.2517416298</v>
      </c>
      <c r="N11" s="39">
        <v>45514.0</v>
      </c>
      <c r="O11" s="40">
        <f t="shared" si="4"/>
        <v>25.66</v>
      </c>
      <c r="P11" s="5">
        <f t="shared" si="5"/>
        <v>327.26</v>
      </c>
      <c r="Q11" s="5">
        <f t="shared" si="2"/>
        <v>32.726</v>
      </c>
      <c r="R11" s="9">
        <f t="shared" si="3"/>
        <v>1014.506</v>
      </c>
    </row>
    <row r="12">
      <c r="A12" s="39">
        <v>45506.0</v>
      </c>
      <c r="B12" s="4" t="s">
        <v>210</v>
      </c>
      <c r="C12" s="4">
        <v>46.5</v>
      </c>
      <c r="E12" s="1" t="s">
        <v>75</v>
      </c>
      <c r="F12" s="40">
        <f>SUMIF(B:B,"Gym",C:C)+SUMIF(B:B,"Climbing",C:C)+SUMIF(B:B,"Tennis",C:C)</f>
        <v>194.41</v>
      </c>
      <c r="N12" s="39">
        <v>45515.0</v>
      </c>
      <c r="O12" s="40">
        <f t="shared" si="4"/>
        <v>63.16</v>
      </c>
      <c r="P12" s="5">
        <f t="shared" si="5"/>
        <v>390.42</v>
      </c>
      <c r="Q12" s="5">
        <f t="shared" si="2"/>
        <v>35.49272727</v>
      </c>
      <c r="R12" s="9">
        <f t="shared" si="3"/>
        <v>1100.274545</v>
      </c>
    </row>
    <row r="13">
      <c r="A13" s="39">
        <v>45507.0</v>
      </c>
      <c r="B13" s="4" t="s">
        <v>323</v>
      </c>
      <c r="C13" s="4">
        <v>12.99</v>
      </c>
      <c r="E13" s="1" t="s">
        <v>76</v>
      </c>
      <c r="F13" s="5">
        <f>SUMIF(B:B,"Coffee",C:C)</f>
        <v>3.9</v>
      </c>
      <c r="N13" s="39">
        <v>45516.0</v>
      </c>
      <c r="O13" s="40">
        <f t="shared" si="4"/>
        <v>40.47</v>
      </c>
      <c r="P13" s="5">
        <f t="shared" si="5"/>
        <v>430.89</v>
      </c>
      <c r="Q13" s="5">
        <f t="shared" si="2"/>
        <v>35.9075</v>
      </c>
      <c r="R13" s="9">
        <f t="shared" si="3"/>
        <v>1113.1325</v>
      </c>
    </row>
    <row r="14">
      <c r="A14" s="39">
        <v>45507.0</v>
      </c>
      <c r="B14" s="4" t="s">
        <v>324</v>
      </c>
      <c r="C14" s="21">
        <v>3.99</v>
      </c>
      <c r="H14" s="19"/>
      <c r="N14" s="39">
        <v>45517.0</v>
      </c>
      <c r="O14" s="40">
        <f t="shared" si="4"/>
        <v>6.89</v>
      </c>
      <c r="P14" s="5">
        <f t="shared" si="5"/>
        <v>437.78</v>
      </c>
      <c r="Q14" s="5">
        <f t="shared" si="2"/>
        <v>33.67538462</v>
      </c>
      <c r="R14" s="9">
        <f t="shared" si="3"/>
        <v>1043.936923</v>
      </c>
    </row>
    <row r="15">
      <c r="A15" s="39">
        <v>45507.0</v>
      </c>
      <c r="B15" s="4" t="s">
        <v>47</v>
      </c>
      <c r="C15" s="21">
        <f>0.85+14.3</f>
        <v>15.15</v>
      </c>
      <c r="E15" s="1"/>
      <c r="H15" s="19"/>
      <c r="N15" s="39">
        <v>45518.0</v>
      </c>
      <c r="O15" s="40">
        <f t="shared" si="4"/>
        <v>16.84</v>
      </c>
      <c r="P15" s="5">
        <f t="shared" si="5"/>
        <v>454.62</v>
      </c>
      <c r="Q15" s="5">
        <f t="shared" si="2"/>
        <v>32.47285714</v>
      </c>
      <c r="R15" s="9">
        <f t="shared" si="3"/>
        <v>1006.658571</v>
      </c>
    </row>
    <row r="16">
      <c r="A16" s="39">
        <v>45507.0</v>
      </c>
      <c r="B16" s="4" t="s">
        <v>127</v>
      </c>
      <c r="C16" s="21">
        <v>1.9</v>
      </c>
      <c r="H16" s="19"/>
      <c r="N16" s="39">
        <v>45519.0</v>
      </c>
      <c r="O16" s="40">
        <f t="shared" si="4"/>
        <v>21.3</v>
      </c>
      <c r="P16" s="5">
        <f t="shared" si="5"/>
        <v>475.92</v>
      </c>
      <c r="Q16" s="5">
        <f t="shared" si="2"/>
        <v>31.728</v>
      </c>
      <c r="R16" s="9">
        <f t="shared" si="3"/>
        <v>983.568</v>
      </c>
    </row>
    <row r="17">
      <c r="A17" s="39">
        <v>45508.0</v>
      </c>
      <c r="B17" s="4" t="s">
        <v>59</v>
      </c>
      <c r="C17" s="21">
        <f>42.69-14.6</f>
        <v>28.09</v>
      </c>
      <c r="H17" s="19"/>
      <c r="N17" s="39">
        <v>45520.0</v>
      </c>
      <c r="O17" s="40">
        <f t="shared" si="4"/>
        <v>28.6</v>
      </c>
      <c r="P17" s="5">
        <f t="shared" si="5"/>
        <v>504.52</v>
      </c>
      <c r="Q17" s="5">
        <f t="shared" si="2"/>
        <v>31.5325</v>
      </c>
      <c r="R17" s="9">
        <f t="shared" si="3"/>
        <v>977.5075</v>
      </c>
    </row>
    <row r="18">
      <c r="A18" s="39">
        <v>45508.0</v>
      </c>
      <c r="B18" s="4" t="s">
        <v>263</v>
      </c>
      <c r="C18" s="21">
        <v>21.5</v>
      </c>
      <c r="H18" s="19"/>
      <c r="N18" s="39">
        <v>45521.0</v>
      </c>
      <c r="O18" s="40">
        <f t="shared" si="4"/>
        <v>76.99</v>
      </c>
      <c r="P18" s="5">
        <f t="shared" si="5"/>
        <v>581.51</v>
      </c>
      <c r="Q18" s="5">
        <f t="shared" si="2"/>
        <v>34.20647059</v>
      </c>
      <c r="R18" s="9">
        <f t="shared" si="3"/>
        <v>1060.400588</v>
      </c>
    </row>
    <row r="19">
      <c r="A19" s="39">
        <v>45510.0</v>
      </c>
      <c r="B19" s="4" t="s">
        <v>47</v>
      </c>
      <c r="C19" s="21">
        <v>19.95</v>
      </c>
      <c r="H19" s="19"/>
      <c r="N19" s="39">
        <v>45522.0</v>
      </c>
      <c r="O19" s="40">
        <f t="shared" si="4"/>
        <v>3</v>
      </c>
      <c r="P19" s="5">
        <f t="shared" si="5"/>
        <v>584.51</v>
      </c>
      <c r="Q19" s="5">
        <f t="shared" si="2"/>
        <v>32.47277778</v>
      </c>
      <c r="R19" s="9">
        <f t="shared" si="3"/>
        <v>1006.656111</v>
      </c>
    </row>
    <row r="20">
      <c r="A20" s="39">
        <v>45511.0</v>
      </c>
      <c r="B20" s="4" t="s">
        <v>263</v>
      </c>
      <c r="C20" s="21">
        <v>21.5</v>
      </c>
      <c r="H20" s="19"/>
      <c r="N20" s="39">
        <v>45523.0</v>
      </c>
      <c r="O20" s="40">
        <f t="shared" si="4"/>
        <v>24.65</v>
      </c>
      <c r="P20" s="5">
        <f t="shared" si="5"/>
        <v>609.16</v>
      </c>
      <c r="Q20" s="5">
        <f t="shared" si="2"/>
        <v>32.06105263</v>
      </c>
      <c r="R20" s="9">
        <f t="shared" si="3"/>
        <v>993.8926316</v>
      </c>
    </row>
    <row r="21">
      <c r="A21" s="39">
        <v>45511.0</v>
      </c>
      <c r="B21" s="4" t="s">
        <v>271</v>
      </c>
      <c r="C21" s="21">
        <v>8.0</v>
      </c>
      <c r="E21" s="19"/>
      <c r="F21" s="5"/>
      <c r="H21" s="19"/>
      <c r="N21" s="39">
        <v>45524.0</v>
      </c>
      <c r="O21" s="40">
        <f t="shared" si="4"/>
        <v>23.14</v>
      </c>
      <c r="P21" s="5">
        <f t="shared" si="5"/>
        <v>632.3</v>
      </c>
      <c r="Q21" s="5">
        <f t="shared" si="2"/>
        <v>31.615</v>
      </c>
      <c r="R21" s="9">
        <f t="shared" si="3"/>
        <v>980.065</v>
      </c>
    </row>
    <row r="22">
      <c r="A22" s="39">
        <v>45512.0</v>
      </c>
      <c r="B22" s="4" t="s">
        <v>47</v>
      </c>
      <c r="C22" s="21">
        <v>12.39</v>
      </c>
      <c r="E22" s="19"/>
      <c r="F22" s="5"/>
      <c r="H22" s="19"/>
      <c r="N22" s="39">
        <v>45525.0</v>
      </c>
      <c r="O22" s="40">
        <f t="shared" si="4"/>
        <v>14.74</v>
      </c>
      <c r="P22" s="5">
        <f t="shared" si="5"/>
        <v>647.04</v>
      </c>
      <c r="Q22" s="5">
        <f t="shared" si="2"/>
        <v>30.81142857</v>
      </c>
      <c r="R22" s="9">
        <f t="shared" si="3"/>
        <v>955.1542857</v>
      </c>
    </row>
    <row r="23">
      <c r="A23" s="39">
        <v>45512.0</v>
      </c>
      <c r="B23" s="4" t="s">
        <v>127</v>
      </c>
      <c r="C23" s="21">
        <v>3.8</v>
      </c>
      <c r="E23" s="19"/>
      <c r="F23" s="5"/>
      <c r="H23" s="19"/>
      <c r="N23" s="39">
        <v>45526.0</v>
      </c>
      <c r="O23" s="40">
        <f t="shared" si="4"/>
        <v>10</v>
      </c>
      <c r="P23" s="5">
        <f t="shared" si="5"/>
        <v>657.04</v>
      </c>
      <c r="Q23" s="5">
        <f t="shared" si="2"/>
        <v>29.86545455</v>
      </c>
      <c r="R23" s="9">
        <f t="shared" si="3"/>
        <v>925.8290909</v>
      </c>
    </row>
    <row r="24">
      <c r="A24" s="39">
        <v>45513.0</v>
      </c>
      <c r="B24" s="4" t="s">
        <v>230</v>
      </c>
      <c r="C24" s="21">
        <v>13.5</v>
      </c>
      <c r="E24" s="19"/>
      <c r="F24" s="5"/>
      <c r="H24" s="19"/>
      <c r="N24" s="39">
        <v>45527.0</v>
      </c>
      <c r="O24" s="40">
        <f t="shared" si="4"/>
        <v>131.22</v>
      </c>
      <c r="P24" s="5">
        <f t="shared" si="5"/>
        <v>788.26</v>
      </c>
      <c r="Q24" s="5">
        <f t="shared" si="2"/>
        <v>34.27217391</v>
      </c>
      <c r="R24" s="9">
        <f t="shared" si="3"/>
        <v>1062.437391</v>
      </c>
    </row>
    <row r="25">
      <c r="A25" s="39">
        <v>45513.0</v>
      </c>
      <c r="B25" s="4" t="s">
        <v>52</v>
      </c>
      <c r="C25" s="21">
        <v>18.03</v>
      </c>
      <c r="E25" s="19"/>
      <c r="F25" s="5"/>
      <c r="H25" s="19"/>
      <c r="N25" s="39">
        <v>45528.0</v>
      </c>
      <c r="O25" s="40">
        <f t="shared" si="4"/>
        <v>48.15</v>
      </c>
      <c r="P25" s="5">
        <f t="shared" si="5"/>
        <v>836.41</v>
      </c>
      <c r="Q25" s="5">
        <f t="shared" si="2"/>
        <v>34.85041667</v>
      </c>
      <c r="R25" s="9">
        <f t="shared" si="3"/>
        <v>1080.362917</v>
      </c>
    </row>
    <row r="26">
      <c r="A26" s="39">
        <v>45514.0</v>
      </c>
      <c r="B26" s="4" t="s">
        <v>47</v>
      </c>
      <c r="C26" s="4">
        <f>15.4-3</f>
        <v>12.4</v>
      </c>
      <c r="E26" s="19"/>
      <c r="F26" s="5"/>
      <c r="H26" s="19"/>
      <c r="N26" s="39">
        <v>45529.0</v>
      </c>
      <c r="O26" s="40">
        <f t="shared" si="4"/>
        <v>26.94</v>
      </c>
      <c r="P26" s="5">
        <f t="shared" si="5"/>
        <v>863.35</v>
      </c>
      <c r="Q26" s="5">
        <f t="shared" si="2"/>
        <v>34.534</v>
      </c>
      <c r="R26" s="9">
        <f t="shared" si="3"/>
        <v>1070.554</v>
      </c>
    </row>
    <row r="27">
      <c r="A27" s="39">
        <v>45514.0</v>
      </c>
      <c r="B27" s="4" t="s">
        <v>325</v>
      </c>
      <c r="C27" s="21">
        <v>0.97</v>
      </c>
      <c r="E27" s="19"/>
      <c r="F27" s="5"/>
      <c r="H27" s="19"/>
      <c r="N27" s="39">
        <v>45530.0</v>
      </c>
      <c r="O27" s="40">
        <f t="shared" si="4"/>
        <v>40.22</v>
      </c>
      <c r="P27" s="5">
        <f t="shared" si="5"/>
        <v>903.57</v>
      </c>
      <c r="Q27" s="5">
        <f t="shared" si="2"/>
        <v>34.75269231</v>
      </c>
      <c r="R27" s="9">
        <f t="shared" si="3"/>
        <v>1077.333462</v>
      </c>
    </row>
    <row r="28">
      <c r="A28" s="39">
        <v>45514.0</v>
      </c>
      <c r="B28" s="4" t="s">
        <v>271</v>
      </c>
      <c r="C28" s="21">
        <v>8.0</v>
      </c>
      <c r="E28" s="19"/>
      <c r="F28" s="5"/>
      <c r="H28" s="19"/>
      <c r="N28" s="39">
        <v>45531.0</v>
      </c>
      <c r="O28" s="40">
        <f t="shared" si="4"/>
        <v>77.66</v>
      </c>
      <c r="P28" s="5">
        <f t="shared" si="5"/>
        <v>981.23</v>
      </c>
      <c r="Q28" s="5">
        <f t="shared" si="2"/>
        <v>36.34185185</v>
      </c>
      <c r="R28" s="9">
        <f t="shared" si="3"/>
        <v>1126.597407</v>
      </c>
    </row>
    <row r="29">
      <c r="A29" s="39">
        <v>45514.0</v>
      </c>
      <c r="B29" s="4" t="s">
        <v>230</v>
      </c>
      <c r="C29" s="21">
        <v>4.29</v>
      </c>
      <c r="E29" s="19"/>
      <c r="F29" s="5"/>
      <c r="H29" s="19"/>
      <c r="N29" s="39">
        <v>45532.0</v>
      </c>
      <c r="O29" s="40">
        <f t="shared" si="4"/>
        <v>14.55</v>
      </c>
      <c r="P29" s="5">
        <f t="shared" si="5"/>
        <v>995.78</v>
      </c>
      <c r="Q29" s="5">
        <f t="shared" si="2"/>
        <v>35.56357143</v>
      </c>
      <c r="R29" s="9">
        <f t="shared" si="3"/>
        <v>1102.470714</v>
      </c>
    </row>
    <row r="30">
      <c r="A30" s="39">
        <v>45515.0</v>
      </c>
      <c r="B30" s="4" t="s">
        <v>326</v>
      </c>
      <c r="C30" s="21">
        <v>28.0</v>
      </c>
      <c r="E30" s="19"/>
      <c r="F30" s="5"/>
      <c r="H30" s="19"/>
      <c r="N30" s="39">
        <v>45533.0</v>
      </c>
      <c r="O30" s="40">
        <f t="shared" si="4"/>
        <v>17.4</v>
      </c>
      <c r="P30" s="5">
        <f t="shared" si="5"/>
        <v>1013.18</v>
      </c>
      <c r="Q30" s="5">
        <f t="shared" si="2"/>
        <v>34.93724138</v>
      </c>
      <c r="R30" s="9">
        <f t="shared" si="3"/>
        <v>1083.054483</v>
      </c>
    </row>
    <row r="31">
      <c r="A31" s="39">
        <v>45515.0</v>
      </c>
      <c r="B31" s="4" t="s">
        <v>327</v>
      </c>
      <c r="C31" s="21">
        <v>25.39</v>
      </c>
      <c r="E31" s="19"/>
      <c r="F31" s="5"/>
      <c r="H31" s="19"/>
      <c r="N31" s="39">
        <v>45534.0</v>
      </c>
      <c r="O31" s="40">
        <f t="shared" si="4"/>
        <v>50.31</v>
      </c>
      <c r="P31" s="5">
        <f t="shared" si="5"/>
        <v>1063.49</v>
      </c>
      <c r="Q31" s="5">
        <f t="shared" si="2"/>
        <v>35.44966667</v>
      </c>
      <c r="R31" s="9">
        <f t="shared" si="3"/>
        <v>1098.939667</v>
      </c>
    </row>
    <row r="32">
      <c r="A32" s="39">
        <v>45515.0</v>
      </c>
      <c r="B32" s="4" t="s">
        <v>89</v>
      </c>
      <c r="C32" s="21">
        <v>4.5</v>
      </c>
      <c r="E32" s="19"/>
      <c r="F32" s="5"/>
      <c r="H32" s="19"/>
      <c r="N32" s="39">
        <v>45535.0</v>
      </c>
      <c r="O32" s="40">
        <f t="shared" si="4"/>
        <v>58.74</v>
      </c>
      <c r="P32" s="5">
        <f t="shared" si="5"/>
        <v>1122.23</v>
      </c>
      <c r="Q32" s="5">
        <f t="shared" si="2"/>
        <v>36.20096774</v>
      </c>
      <c r="R32" s="9">
        <f t="shared" si="3"/>
        <v>1122.23</v>
      </c>
    </row>
    <row r="33">
      <c r="A33" s="39">
        <v>45515.0</v>
      </c>
      <c r="B33" s="4" t="s">
        <v>47</v>
      </c>
      <c r="C33" s="21">
        <f>20.27-15</f>
        <v>5.27</v>
      </c>
      <c r="E33" s="19"/>
      <c r="F33" s="5"/>
      <c r="H33" s="19"/>
      <c r="N33" s="39"/>
      <c r="Q33" s="5"/>
      <c r="R33" s="9"/>
    </row>
    <row r="34">
      <c r="A34" s="39">
        <v>45516.0</v>
      </c>
      <c r="B34" s="4" t="s">
        <v>127</v>
      </c>
      <c r="C34" s="4">
        <v>5.6</v>
      </c>
      <c r="E34" s="19"/>
      <c r="F34" s="5"/>
      <c r="H34" s="19"/>
      <c r="Q34" s="5"/>
      <c r="R34" s="9"/>
    </row>
    <row r="35">
      <c r="A35" s="39">
        <v>45516.0</v>
      </c>
      <c r="B35" s="4" t="s">
        <v>47</v>
      </c>
      <c r="C35" s="21">
        <v>12.87</v>
      </c>
      <c r="E35" s="19"/>
      <c r="F35" s="5"/>
      <c r="H35" s="19"/>
      <c r="Q35" s="5"/>
      <c r="R35" s="9"/>
    </row>
    <row r="36">
      <c r="A36" s="39">
        <v>45516.0</v>
      </c>
      <c r="B36" s="4" t="s">
        <v>328</v>
      </c>
      <c r="C36" s="4">
        <v>18.0</v>
      </c>
      <c r="E36" s="19"/>
      <c r="F36" s="5"/>
      <c r="H36" s="19"/>
      <c r="Q36" s="5"/>
      <c r="R36" s="9"/>
    </row>
    <row r="37">
      <c r="A37" s="39">
        <v>45516.0</v>
      </c>
      <c r="B37" s="4" t="s">
        <v>298</v>
      </c>
      <c r="C37" s="21">
        <v>4.0</v>
      </c>
      <c r="E37" s="19"/>
      <c r="F37" s="5"/>
      <c r="H37" s="19"/>
      <c r="Q37" s="5"/>
      <c r="R37" s="9"/>
    </row>
    <row r="38">
      <c r="A38" s="39">
        <v>45517.0</v>
      </c>
      <c r="B38" s="4" t="s">
        <v>140</v>
      </c>
      <c r="C38" s="21">
        <v>6.89</v>
      </c>
      <c r="E38" s="19"/>
      <c r="F38" s="5"/>
      <c r="H38" s="19"/>
      <c r="Q38" s="5"/>
      <c r="R38" s="9"/>
    </row>
    <row r="39">
      <c r="A39" s="39">
        <v>45518.0</v>
      </c>
      <c r="B39" s="4" t="s">
        <v>329</v>
      </c>
      <c r="C39" s="21">
        <v>16.84</v>
      </c>
      <c r="E39" s="19"/>
      <c r="F39" s="5"/>
      <c r="H39" s="19"/>
      <c r="Q39" s="5"/>
      <c r="R39" s="9"/>
    </row>
    <row r="40">
      <c r="A40" s="39">
        <v>45519.0</v>
      </c>
      <c r="B40" s="4" t="s">
        <v>62</v>
      </c>
      <c r="C40" s="21">
        <v>1.4</v>
      </c>
      <c r="E40" s="19"/>
      <c r="F40" s="5"/>
      <c r="H40" s="19"/>
      <c r="Q40" s="5"/>
      <c r="R40" s="9"/>
    </row>
    <row r="41">
      <c r="A41" s="39">
        <v>45519.0</v>
      </c>
      <c r="B41" s="4" t="s">
        <v>89</v>
      </c>
      <c r="C41" s="21">
        <v>4.0</v>
      </c>
      <c r="E41" s="19"/>
      <c r="F41" s="5"/>
      <c r="H41" s="19"/>
      <c r="Q41" s="5"/>
      <c r="R41" s="9"/>
    </row>
    <row r="42">
      <c r="A42" s="39">
        <v>45519.0</v>
      </c>
      <c r="B42" s="4" t="s">
        <v>62</v>
      </c>
      <c r="C42" s="21">
        <v>4.4</v>
      </c>
      <c r="E42" s="19"/>
      <c r="F42" s="5"/>
      <c r="H42" s="19"/>
      <c r="Q42" s="5"/>
      <c r="R42" s="9"/>
    </row>
    <row r="43">
      <c r="A43" s="39">
        <v>45519.0</v>
      </c>
      <c r="B43" s="4" t="s">
        <v>62</v>
      </c>
      <c r="C43" s="21">
        <v>9.5</v>
      </c>
      <c r="E43" s="19"/>
      <c r="F43" s="5"/>
      <c r="H43" s="19"/>
      <c r="Q43" s="5"/>
      <c r="R43" s="9"/>
    </row>
    <row r="44">
      <c r="A44" s="39">
        <v>45519.0</v>
      </c>
      <c r="B44" s="4" t="s">
        <v>47</v>
      </c>
      <c r="C44" s="21">
        <v>2.0</v>
      </c>
      <c r="E44" s="19"/>
      <c r="F44" s="5"/>
      <c r="H44" s="19"/>
      <c r="Q44" s="5"/>
      <c r="R44" s="9"/>
    </row>
    <row r="45">
      <c r="A45" s="39">
        <v>45520.0</v>
      </c>
      <c r="B45" s="4" t="s">
        <v>45</v>
      </c>
      <c r="C45" s="21">
        <f>30-15</f>
        <v>15</v>
      </c>
      <c r="E45" s="19"/>
      <c r="F45" s="5"/>
      <c r="H45" s="19"/>
      <c r="Q45" s="5"/>
      <c r="R45" s="9"/>
    </row>
    <row r="46">
      <c r="A46" s="39">
        <v>45520.0</v>
      </c>
      <c r="B46" s="4" t="s">
        <v>127</v>
      </c>
      <c r="C46" s="21">
        <v>6.8</v>
      </c>
      <c r="E46" s="19"/>
      <c r="F46" s="5"/>
      <c r="H46" s="19"/>
      <c r="Q46" s="5"/>
      <c r="R46" s="9"/>
    </row>
    <row r="47">
      <c r="A47" s="39">
        <v>45520.0</v>
      </c>
      <c r="B47" s="4" t="s">
        <v>45</v>
      </c>
      <c r="C47" s="21">
        <v>6.8</v>
      </c>
      <c r="E47" s="19"/>
      <c r="F47" s="5"/>
      <c r="H47" s="19"/>
      <c r="Q47" s="5"/>
      <c r="R47" s="9"/>
    </row>
    <row r="48">
      <c r="A48" s="39">
        <v>45521.0</v>
      </c>
      <c r="B48" s="4" t="s">
        <v>127</v>
      </c>
      <c r="C48" s="21">
        <v>9.2</v>
      </c>
      <c r="E48" s="19"/>
      <c r="F48" s="5"/>
      <c r="H48" s="19"/>
      <c r="Q48" s="5"/>
      <c r="R48" s="9"/>
    </row>
    <row r="49">
      <c r="A49" s="39">
        <v>45521.0</v>
      </c>
      <c r="B49" s="4" t="s">
        <v>330</v>
      </c>
      <c r="C49" s="21">
        <v>27.0</v>
      </c>
      <c r="E49" s="19"/>
      <c r="F49" s="5"/>
      <c r="H49" s="19"/>
      <c r="Q49" s="5"/>
      <c r="R49" s="9"/>
    </row>
    <row r="50">
      <c r="A50" s="39">
        <v>45521.0</v>
      </c>
      <c r="B50" s="4" t="s">
        <v>45</v>
      </c>
      <c r="C50" s="21">
        <v>13.67</v>
      </c>
      <c r="E50" s="19"/>
      <c r="F50" s="5"/>
      <c r="H50" s="19"/>
      <c r="Q50" s="5"/>
      <c r="R50" s="9"/>
    </row>
    <row r="51">
      <c r="A51" s="39">
        <v>45521.0</v>
      </c>
      <c r="B51" s="4" t="s">
        <v>73</v>
      </c>
      <c r="C51" s="21">
        <v>12.02</v>
      </c>
      <c r="E51" s="19"/>
      <c r="F51" s="5"/>
      <c r="H51" s="19"/>
      <c r="Q51" s="5"/>
      <c r="R51" s="9"/>
    </row>
    <row r="52">
      <c r="A52" s="39">
        <v>45521.0</v>
      </c>
      <c r="B52" s="4" t="s">
        <v>52</v>
      </c>
      <c r="C52" s="21">
        <v>15.1</v>
      </c>
      <c r="E52" s="19"/>
      <c r="F52" s="5"/>
      <c r="H52" s="19"/>
      <c r="Q52" s="5"/>
      <c r="R52" s="9"/>
    </row>
    <row r="53">
      <c r="A53" s="39">
        <v>45522.0</v>
      </c>
      <c r="B53" s="4" t="s">
        <v>47</v>
      </c>
      <c r="C53" s="21">
        <v>3.0</v>
      </c>
      <c r="E53" s="19"/>
      <c r="F53" s="5"/>
      <c r="H53" s="19"/>
      <c r="Q53" s="5"/>
      <c r="R53" s="9"/>
    </row>
    <row r="54">
      <c r="A54" s="39">
        <v>45523.0</v>
      </c>
      <c r="B54" s="4" t="s">
        <v>271</v>
      </c>
      <c r="C54" s="21">
        <v>6.1</v>
      </c>
      <c r="E54" s="19"/>
      <c r="F54" s="5"/>
      <c r="H54" s="19"/>
      <c r="Q54" s="5"/>
      <c r="R54" s="9"/>
    </row>
    <row r="55">
      <c r="A55" s="39">
        <v>45523.0</v>
      </c>
      <c r="B55" s="4" t="s">
        <v>47</v>
      </c>
      <c r="C55" s="21">
        <v>15.55</v>
      </c>
      <c r="E55" s="19"/>
      <c r="F55" s="5"/>
      <c r="H55" s="19"/>
      <c r="Q55" s="5"/>
      <c r="R55" s="9"/>
    </row>
    <row r="56">
      <c r="A56" s="39">
        <v>45523.0</v>
      </c>
      <c r="B56" s="4" t="s">
        <v>127</v>
      </c>
      <c r="C56" s="21">
        <v>3.0</v>
      </c>
      <c r="E56" s="19"/>
      <c r="F56" s="5"/>
      <c r="H56" s="19"/>
      <c r="Q56" s="5"/>
      <c r="R56" s="9"/>
    </row>
    <row r="57">
      <c r="A57" s="39">
        <v>45524.0</v>
      </c>
      <c r="B57" s="4" t="s">
        <v>53</v>
      </c>
      <c r="C57" s="43">
        <v>10.15</v>
      </c>
      <c r="E57" s="19"/>
      <c r="F57" s="5"/>
      <c r="H57" s="19"/>
      <c r="Q57" s="5"/>
      <c r="R57" s="9"/>
    </row>
    <row r="58">
      <c r="A58" s="39">
        <v>45524.0</v>
      </c>
      <c r="B58" s="4" t="s">
        <v>47</v>
      </c>
      <c r="C58" s="21">
        <v>1.25</v>
      </c>
      <c r="E58" s="19"/>
      <c r="F58" s="5"/>
      <c r="H58" s="19"/>
      <c r="Q58" s="5"/>
      <c r="R58" s="9"/>
    </row>
    <row r="59">
      <c r="A59" s="39">
        <v>45524.0</v>
      </c>
      <c r="B59" s="4" t="s">
        <v>62</v>
      </c>
      <c r="C59" s="21">
        <v>8.04</v>
      </c>
      <c r="E59" s="19"/>
      <c r="F59" s="5"/>
      <c r="H59" s="19"/>
      <c r="Q59" s="5"/>
      <c r="R59" s="9"/>
    </row>
    <row r="60">
      <c r="A60" s="39">
        <v>45524.0</v>
      </c>
      <c r="B60" s="4" t="s">
        <v>127</v>
      </c>
      <c r="C60" s="21">
        <v>3.7</v>
      </c>
      <c r="E60" s="19"/>
      <c r="F60" s="5"/>
      <c r="H60" s="19"/>
      <c r="Q60" s="5"/>
      <c r="R60" s="9"/>
    </row>
    <row r="61">
      <c r="A61" s="39">
        <v>45525.0</v>
      </c>
      <c r="B61" s="4" t="s">
        <v>47</v>
      </c>
      <c r="C61" s="4">
        <v>14.74</v>
      </c>
      <c r="E61" s="19"/>
      <c r="F61" s="5"/>
      <c r="H61" s="19"/>
      <c r="Q61" s="5"/>
      <c r="R61" s="9"/>
    </row>
    <row r="62">
      <c r="A62" s="39">
        <v>45526.0</v>
      </c>
      <c r="B62" s="4" t="s">
        <v>127</v>
      </c>
      <c r="C62" s="21">
        <v>3.7</v>
      </c>
      <c r="E62" s="19"/>
      <c r="F62" s="5"/>
      <c r="H62" s="19"/>
      <c r="Q62" s="5"/>
      <c r="R62" s="9"/>
    </row>
    <row r="63">
      <c r="A63" s="39">
        <v>45526.0</v>
      </c>
      <c r="B63" s="4" t="s">
        <v>47</v>
      </c>
      <c r="C63" s="21">
        <v>6.3</v>
      </c>
      <c r="E63" s="19"/>
      <c r="F63" s="5"/>
      <c r="H63" s="19"/>
      <c r="Q63" s="5"/>
      <c r="R63" s="9"/>
    </row>
    <row r="64">
      <c r="A64" s="39">
        <v>45527.0</v>
      </c>
      <c r="B64" s="4" t="s">
        <v>271</v>
      </c>
      <c r="C64" s="21">
        <v>127.32</v>
      </c>
      <c r="E64" s="19"/>
      <c r="F64" s="5"/>
      <c r="H64" s="19"/>
      <c r="Q64" s="5"/>
      <c r="R64" s="9"/>
    </row>
    <row r="65">
      <c r="A65" s="39">
        <v>45527.0</v>
      </c>
      <c r="B65" s="4" t="s">
        <v>76</v>
      </c>
      <c r="C65" s="21">
        <v>3.9</v>
      </c>
      <c r="E65" s="19"/>
      <c r="F65" s="5"/>
      <c r="H65" s="19"/>
      <c r="Q65" s="5"/>
      <c r="R65" s="9"/>
    </row>
    <row r="66">
      <c r="A66" s="39">
        <v>45528.0</v>
      </c>
      <c r="B66" s="4" t="s">
        <v>331</v>
      </c>
      <c r="C66" s="21">
        <v>5.24</v>
      </c>
      <c r="E66" s="19"/>
      <c r="F66" s="5"/>
      <c r="H66" s="19"/>
      <c r="Q66" s="5"/>
      <c r="R66" s="9"/>
    </row>
    <row r="67">
      <c r="A67" s="39">
        <v>45528.0</v>
      </c>
      <c r="B67" s="4" t="s">
        <v>127</v>
      </c>
      <c r="C67" s="21">
        <v>3.8</v>
      </c>
      <c r="E67" s="19"/>
      <c r="F67" s="5"/>
      <c r="H67" s="19"/>
      <c r="Q67" s="5"/>
      <c r="R67" s="9"/>
    </row>
    <row r="68">
      <c r="A68" s="39">
        <v>45528.0</v>
      </c>
      <c r="B68" s="4" t="s">
        <v>119</v>
      </c>
      <c r="C68" s="21">
        <v>4.6</v>
      </c>
      <c r="E68" s="19"/>
      <c r="F68" s="5"/>
      <c r="H68" s="19"/>
      <c r="Q68" s="5"/>
      <c r="R68" s="9"/>
    </row>
    <row r="69">
      <c r="A69" s="39">
        <v>45528.0</v>
      </c>
      <c r="B69" s="4" t="s">
        <v>47</v>
      </c>
      <c r="C69" s="21">
        <v>0.85</v>
      </c>
      <c r="E69" s="19"/>
      <c r="F69" s="5"/>
      <c r="H69" s="19"/>
      <c r="Q69" s="5"/>
      <c r="R69" s="9"/>
    </row>
    <row r="70">
      <c r="A70" s="39">
        <v>45528.0</v>
      </c>
      <c r="B70" s="4" t="s">
        <v>110</v>
      </c>
      <c r="C70" s="21">
        <v>26.0</v>
      </c>
      <c r="E70" s="19"/>
      <c r="F70" s="5"/>
      <c r="H70" s="19"/>
      <c r="Q70" s="5"/>
      <c r="R70" s="9"/>
    </row>
    <row r="71">
      <c r="A71" s="39">
        <v>45528.0</v>
      </c>
      <c r="B71" s="4" t="s">
        <v>47</v>
      </c>
      <c r="C71" s="21">
        <v>7.66</v>
      </c>
      <c r="E71" s="19"/>
      <c r="F71" s="5"/>
      <c r="H71" s="19"/>
      <c r="Q71" s="5"/>
      <c r="R71" s="9"/>
    </row>
    <row r="72">
      <c r="A72" s="39">
        <v>45529.0</v>
      </c>
      <c r="B72" s="4" t="s">
        <v>62</v>
      </c>
      <c r="C72" s="21">
        <v>23.24</v>
      </c>
      <c r="E72" s="19"/>
      <c r="F72" s="5"/>
      <c r="H72" s="19"/>
      <c r="Q72" s="5"/>
      <c r="R72" s="9"/>
    </row>
    <row r="73">
      <c r="A73" s="39">
        <v>45529.0</v>
      </c>
      <c r="B73" s="4" t="s">
        <v>127</v>
      </c>
      <c r="C73" s="21">
        <v>3.7</v>
      </c>
      <c r="E73" s="19"/>
      <c r="F73" s="5"/>
      <c r="H73" s="19"/>
      <c r="Q73" s="5"/>
      <c r="R73" s="9"/>
    </row>
    <row r="74">
      <c r="A74" s="39">
        <v>45530.0</v>
      </c>
      <c r="B74" s="4" t="s">
        <v>57</v>
      </c>
      <c r="C74" s="21">
        <v>10.12</v>
      </c>
      <c r="E74" s="19"/>
      <c r="F74" s="5"/>
      <c r="H74" s="19"/>
      <c r="Q74" s="5"/>
      <c r="R74" s="9"/>
    </row>
    <row r="75">
      <c r="A75" s="39">
        <v>45530.0</v>
      </c>
      <c r="B75" s="4" t="s">
        <v>52</v>
      </c>
      <c r="C75" s="21">
        <f>8+14.1</f>
        <v>22.1</v>
      </c>
      <c r="E75" s="19"/>
      <c r="F75" s="5"/>
      <c r="H75" s="19"/>
      <c r="Q75" s="5"/>
      <c r="R75" s="9"/>
    </row>
    <row r="76">
      <c r="A76" s="39">
        <v>45530.0</v>
      </c>
      <c r="B76" s="4" t="s">
        <v>59</v>
      </c>
      <c r="C76" s="21">
        <v>8.0</v>
      </c>
      <c r="E76" s="19"/>
      <c r="F76" s="5"/>
      <c r="H76" s="19"/>
      <c r="Q76" s="5"/>
      <c r="R76" s="9"/>
    </row>
    <row r="77">
      <c r="A77" s="39">
        <v>45531.0</v>
      </c>
      <c r="B77" s="4" t="s">
        <v>253</v>
      </c>
      <c r="C77" s="21">
        <v>44.99</v>
      </c>
      <c r="E77" s="19"/>
      <c r="F77" s="5"/>
      <c r="H77" s="19"/>
      <c r="Q77" s="5"/>
      <c r="R77" s="9"/>
    </row>
    <row r="78">
      <c r="A78" s="39">
        <v>45531.0</v>
      </c>
      <c r="B78" s="4" t="s">
        <v>210</v>
      </c>
      <c r="C78" s="21">
        <v>32.67</v>
      </c>
      <c r="E78" s="19"/>
      <c r="F78" s="5"/>
      <c r="H78" s="19"/>
      <c r="Q78" s="5"/>
      <c r="R78" s="9"/>
    </row>
    <row r="79">
      <c r="A79" s="39">
        <v>45532.0</v>
      </c>
      <c r="B79" s="4" t="s">
        <v>62</v>
      </c>
      <c r="C79" s="4">
        <v>2.05</v>
      </c>
      <c r="E79" s="19"/>
      <c r="F79" s="5"/>
      <c r="H79" s="19"/>
      <c r="Q79" s="5"/>
      <c r="R79" s="9"/>
    </row>
    <row r="80">
      <c r="A80" s="39">
        <v>45532.0</v>
      </c>
      <c r="B80" s="4" t="s">
        <v>140</v>
      </c>
      <c r="C80" s="21">
        <v>12.5</v>
      </c>
      <c r="E80" s="19"/>
      <c r="F80" s="5"/>
      <c r="H80" s="19"/>
      <c r="Q80" s="5"/>
      <c r="R80" s="9"/>
    </row>
    <row r="81">
      <c r="A81" s="39">
        <v>45533.0</v>
      </c>
      <c r="B81" s="4" t="s">
        <v>89</v>
      </c>
      <c r="C81" s="21">
        <v>4.0</v>
      </c>
      <c r="E81" s="19"/>
      <c r="F81" s="5"/>
      <c r="H81" s="19"/>
      <c r="Q81" s="5"/>
      <c r="R81" s="9"/>
    </row>
    <row r="82">
      <c r="A82" s="39">
        <v>45533.0</v>
      </c>
      <c r="B82" s="4" t="s">
        <v>127</v>
      </c>
      <c r="C82" s="21">
        <v>8.5</v>
      </c>
      <c r="E82" s="19"/>
      <c r="F82" s="5"/>
      <c r="H82" s="19"/>
      <c r="Q82" s="5"/>
      <c r="R82" s="9"/>
    </row>
    <row r="83">
      <c r="A83" s="39">
        <v>45533.0</v>
      </c>
      <c r="B83" s="4" t="s">
        <v>47</v>
      </c>
      <c r="C83" s="21">
        <v>4.9</v>
      </c>
      <c r="E83" s="19"/>
      <c r="F83" s="5"/>
      <c r="H83" s="19"/>
      <c r="Q83" s="5"/>
      <c r="R83" s="9"/>
    </row>
    <row r="84">
      <c r="A84" s="39">
        <v>45534.0</v>
      </c>
      <c r="B84" s="4" t="s">
        <v>127</v>
      </c>
      <c r="C84" s="21">
        <v>3.7</v>
      </c>
      <c r="E84" s="19"/>
      <c r="F84" s="5"/>
      <c r="H84" s="19"/>
      <c r="Q84" s="5"/>
      <c r="R84" s="9"/>
    </row>
    <row r="85">
      <c r="A85" s="39">
        <v>45534.0</v>
      </c>
      <c r="B85" s="4" t="s">
        <v>332</v>
      </c>
      <c r="C85" s="21">
        <v>21.59</v>
      </c>
      <c r="E85" s="19"/>
      <c r="F85" s="5"/>
      <c r="H85" s="19"/>
      <c r="Q85" s="5"/>
      <c r="R85" s="9"/>
    </row>
    <row r="86">
      <c r="A86" s="39">
        <v>45534.0</v>
      </c>
      <c r="B86" s="4" t="s">
        <v>59</v>
      </c>
      <c r="C86" s="21">
        <v>25.02</v>
      </c>
      <c r="E86" s="19"/>
      <c r="F86" s="5"/>
      <c r="H86" s="19"/>
      <c r="Q86" s="5"/>
      <c r="R86" s="9"/>
    </row>
    <row r="87">
      <c r="A87" s="39">
        <v>45535.0</v>
      </c>
      <c r="B87" s="4" t="s">
        <v>47</v>
      </c>
      <c r="C87" s="21">
        <v>1.25</v>
      </c>
      <c r="E87" s="19"/>
      <c r="F87" s="5"/>
      <c r="H87" s="19"/>
      <c r="Q87" s="5"/>
      <c r="R87" s="9"/>
    </row>
    <row r="88">
      <c r="A88" s="39">
        <v>45535.0</v>
      </c>
      <c r="B88" s="4" t="s">
        <v>210</v>
      </c>
      <c r="C88" s="21">
        <v>19.4</v>
      </c>
      <c r="E88" s="19"/>
      <c r="F88" s="5"/>
      <c r="H88" s="19"/>
      <c r="Q88" s="5"/>
      <c r="R88" s="9"/>
    </row>
    <row r="89">
      <c r="A89" s="39">
        <v>45535.0</v>
      </c>
      <c r="B89" s="4" t="s">
        <v>45</v>
      </c>
      <c r="C89" s="21">
        <f>11.5+5.3+15.99+5.3</f>
        <v>38.09</v>
      </c>
      <c r="E89" s="19"/>
      <c r="F89" s="5"/>
      <c r="H89" s="19"/>
      <c r="Q89" s="5"/>
      <c r="R89" s="9"/>
    </row>
    <row r="90">
      <c r="A90" s="39"/>
      <c r="C90" s="21"/>
      <c r="E90" s="19"/>
      <c r="F90" s="5"/>
      <c r="H90" s="19"/>
      <c r="Q90" s="5"/>
      <c r="R90" s="9"/>
    </row>
    <row r="91">
      <c r="A91" s="39"/>
      <c r="C91" s="21"/>
      <c r="E91" s="19"/>
      <c r="F91" s="5"/>
      <c r="H91" s="19"/>
      <c r="Q91" s="5"/>
      <c r="R91" s="9"/>
    </row>
    <row r="92">
      <c r="A92" s="39"/>
      <c r="C92" s="21"/>
      <c r="E92" s="19"/>
      <c r="F92" s="5"/>
      <c r="H92" s="19"/>
      <c r="Q92" s="5"/>
      <c r="R92" s="9"/>
    </row>
    <row r="93">
      <c r="A93" s="39"/>
      <c r="C93" s="21"/>
      <c r="E93" s="19"/>
      <c r="F93" s="5"/>
      <c r="H93" s="19"/>
      <c r="Q93" s="5"/>
      <c r="R93" s="9"/>
    </row>
    <row r="94">
      <c r="A94" s="39"/>
      <c r="C94" s="21"/>
      <c r="E94" s="19"/>
      <c r="F94" s="5"/>
      <c r="H94" s="19"/>
      <c r="Q94" s="5"/>
      <c r="R94" s="9"/>
    </row>
    <row r="95">
      <c r="A95" s="39"/>
      <c r="C95" s="21"/>
      <c r="E95" s="19"/>
      <c r="F95" s="5"/>
      <c r="H95" s="19"/>
      <c r="Q95" s="5"/>
      <c r="R95" s="9"/>
    </row>
    <row r="96">
      <c r="A96" s="39"/>
      <c r="C96" s="21"/>
      <c r="E96" s="19"/>
      <c r="F96" s="5"/>
      <c r="H96" s="19"/>
      <c r="Q96" s="5"/>
      <c r="R96" s="9"/>
    </row>
    <row r="97">
      <c r="A97" s="39"/>
      <c r="C97" s="21"/>
      <c r="E97" s="19"/>
      <c r="F97" s="5"/>
      <c r="H97" s="19"/>
      <c r="Q97" s="5"/>
      <c r="R97" s="9"/>
    </row>
    <row r="98">
      <c r="A98" s="39"/>
      <c r="C98" s="21"/>
      <c r="E98" s="19"/>
      <c r="F98" s="5"/>
      <c r="H98" s="19"/>
      <c r="Q98" s="5"/>
      <c r="R98" s="9"/>
    </row>
    <row r="99">
      <c r="A99" s="39"/>
      <c r="C99" s="21"/>
      <c r="E99" s="19"/>
      <c r="F99" s="5"/>
      <c r="H99" s="19"/>
      <c r="Q99" s="5"/>
      <c r="R99" s="9"/>
    </row>
    <row r="100">
      <c r="A100" s="44"/>
      <c r="C100" s="5"/>
      <c r="E100" s="19"/>
      <c r="F100" s="5"/>
      <c r="H100" s="19"/>
      <c r="Q100" s="5"/>
      <c r="R100" s="9"/>
    </row>
    <row r="101">
      <c r="A101" s="44"/>
      <c r="C101" s="5"/>
      <c r="E101" s="19"/>
      <c r="F101" s="5"/>
      <c r="H101" s="19"/>
      <c r="Q101" s="5"/>
      <c r="R101" s="9"/>
    </row>
    <row r="102">
      <c r="A102" s="44"/>
      <c r="C102" s="5"/>
      <c r="E102" s="19"/>
      <c r="F102" s="5"/>
      <c r="H102" s="19"/>
      <c r="Q102" s="5"/>
      <c r="R102" s="9"/>
    </row>
    <row r="103">
      <c r="A103" s="44"/>
      <c r="C103" s="5"/>
      <c r="E103" s="19"/>
      <c r="F103" s="5"/>
      <c r="H103" s="19"/>
      <c r="Q103" s="5"/>
      <c r="R103" s="9"/>
    </row>
    <row r="104">
      <c r="A104" s="44"/>
      <c r="C104" s="5"/>
      <c r="E104" s="19"/>
      <c r="F104" s="5"/>
      <c r="H104" s="19"/>
      <c r="Q104" s="5"/>
      <c r="R104" s="9"/>
    </row>
    <row r="105">
      <c r="A105" s="44"/>
      <c r="C105" s="5"/>
      <c r="E105" s="19"/>
      <c r="F105" s="5"/>
      <c r="H105" s="19"/>
      <c r="Q105" s="5"/>
      <c r="R105" s="9"/>
    </row>
    <row r="106">
      <c r="A106" s="44"/>
      <c r="C106" s="5"/>
      <c r="E106" s="19"/>
      <c r="F106" s="5"/>
      <c r="H106" s="19"/>
      <c r="Q106" s="5"/>
      <c r="R106" s="9"/>
    </row>
    <row r="107">
      <c r="A107" s="44"/>
      <c r="C107" s="5"/>
      <c r="E107" s="19"/>
      <c r="F107" s="5"/>
      <c r="H107" s="19"/>
      <c r="Q107" s="5"/>
      <c r="R107" s="9"/>
    </row>
    <row r="108">
      <c r="A108" s="44"/>
      <c r="C108" s="5"/>
      <c r="E108" s="19"/>
      <c r="F108" s="5"/>
      <c r="H108" s="19"/>
      <c r="Q108" s="5"/>
      <c r="R108" s="9"/>
    </row>
    <row r="109">
      <c r="A109" s="44"/>
      <c r="C109" s="5"/>
      <c r="E109" s="19"/>
      <c r="F109" s="5"/>
      <c r="H109" s="19"/>
      <c r="Q109" s="5"/>
      <c r="R109" s="9"/>
    </row>
    <row r="110">
      <c r="A110" s="44"/>
      <c r="C110" s="5"/>
      <c r="E110" s="19"/>
      <c r="F110" s="5"/>
      <c r="H110" s="19"/>
      <c r="Q110" s="5"/>
      <c r="R110" s="9"/>
    </row>
    <row r="111">
      <c r="A111" s="44"/>
      <c r="C111" s="5"/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39"/>
      <c r="C999" s="5"/>
      <c r="E999" s="19"/>
      <c r="F999" s="5"/>
      <c r="H999" s="19"/>
      <c r="Q999" s="5"/>
      <c r="R999" s="9"/>
    </row>
  </sheetData>
  <conditionalFormatting sqref="N1:N999">
    <cfRule type="timePeriod" dxfId="4" priority="1" timePeriod="today"/>
  </conditionalFormatting>
  <conditionalFormatting sqref="N1:N999">
    <cfRule type="timePeriod" dxfId="5" priority="2" timePeriod="today"/>
  </conditionalFormatting>
  <conditionalFormatting sqref="O1:O999 Q1:Q999">
    <cfRule type="cellIs" dxfId="0" priority="3" operator="lessThan">
      <formula>25</formula>
    </cfRule>
  </conditionalFormatting>
  <conditionalFormatting sqref="O1:O999 Q1:Q999">
    <cfRule type="cellIs" dxfId="6" priority="4" operator="lessThan">
      <formula>35</formula>
    </cfRule>
  </conditionalFormatting>
  <conditionalFormatting sqref="O1:O999 Q1:Q999">
    <cfRule type="cellIs" dxfId="1" priority="5" operator="greaterThanOrEqual">
      <formula>35</formula>
    </cfRule>
  </conditionalFormatting>
  <conditionalFormatting sqref="I1">
    <cfRule type="cellIs" dxfId="1" priority="6" operator="lessThan">
      <formula>0</formula>
    </cfRule>
  </conditionalFormatting>
  <conditionalFormatting sqref="I1">
    <cfRule type="cellIs" dxfId="0" priority="7" operator="greaterThan">
      <formula>0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105.74</v>
      </c>
      <c r="H1" s="1" t="s">
        <v>46</v>
      </c>
      <c r="I1" s="5">
        <f>I6-I7</f>
        <v>332.97</v>
      </c>
      <c r="J1" s="19"/>
      <c r="K1" s="1" t="s">
        <v>47</v>
      </c>
      <c r="L1" s="5">
        <f t="shared" ref="L1:L5" si="1">SUMIF(B:B,K1,C:I)</f>
        <v>115.8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9"/>
      <c r="U1" s="19"/>
      <c r="V1" s="19"/>
      <c r="W1" s="19"/>
      <c r="X1" s="19"/>
      <c r="Y1" s="19"/>
      <c r="Z1" s="19"/>
    </row>
    <row r="2">
      <c r="A2" s="39">
        <v>45474.0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22.2</v>
      </c>
      <c r="H2" s="1" t="s">
        <v>6</v>
      </c>
      <c r="I2" s="5">
        <f>SUMIF(B:B,H2,C:C)</f>
        <v>1250</v>
      </c>
      <c r="K2" s="1" t="s">
        <v>53</v>
      </c>
      <c r="L2" s="5">
        <f t="shared" si="1"/>
        <v>44.65</v>
      </c>
      <c r="N2" s="39">
        <v>45474.0</v>
      </c>
      <c r="O2" s="5">
        <f>sumif(A:A,N2,C:C)-sum(C2:C5)</f>
        <v>231.85</v>
      </c>
      <c r="P2" s="5">
        <f>SUM(O2)</f>
        <v>231.85</v>
      </c>
      <c r="Q2" s="5">
        <f t="shared" ref="Q2:Q32" si="2">P2/(ROW()-1)</f>
        <v>231.85</v>
      </c>
      <c r="R2" s="9">
        <f t="shared" ref="R2:R32" si="3">count(N:N)*Q2</f>
        <v>7187.35</v>
      </c>
    </row>
    <row r="3">
      <c r="A3" s="39">
        <v>45474.0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34.4</v>
      </c>
      <c r="H3" s="1" t="s">
        <v>8</v>
      </c>
      <c r="I3" s="5">
        <f>SUMIF(B:B,H3,C:C)+I1</f>
        <v>582.97</v>
      </c>
      <c r="K3" s="1" t="s">
        <v>56</v>
      </c>
      <c r="L3" s="5">
        <f t="shared" si="1"/>
        <v>0</v>
      </c>
      <c r="N3" s="39">
        <v>45475.0</v>
      </c>
      <c r="O3" s="40">
        <f t="shared" ref="O3:O32" si="4">sumif(A:A,N3,C:C)</f>
        <v>29.09</v>
      </c>
      <c r="P3" s="5">
        <f t="shared" ref="P3:P32" si="5">P2+O3</f>
        <v>260.94</v>
      </c>
      <c r="Q3" s="5">
        <f t="shared" si="2"/>
        <v>130.47</v>
      </c>
      <c r="R3" s="9">
        <f t="shared" si="3"/>
        <v>4044.57</v>
      </c>
    </row>
    <row r="4">
      <c r="A4" s="39">
        <v>45474.0</v>
      </c>
      <c r="B4" s="4" t="s">
        <v>6</v>
      </c>
      <c r="C4" s="21">
        <v>1250.0</v>
      </c>
      <c r="E4" s="1" t="s">
        <v>140</v>
      </c>
      <c r="F4" s="5">
        <f t="shared" ref="F4:F5" si="6">SUMIF(B:B,E4,C:C)</f>
        <v>68.48</v>
      </c>
      <c r="H4" s="1" t="s">
        <v>58</v>
      </c>
      <c r="I4" s="5">
        <f>I2+I3</f>
        <v>1832.97</v>
      </c>
      <c r="K4" s="1" t="s">
        <v>59</v>
      </c>
      <c r="L4" s="5">
        <f t="shared" si="1"/>
        <v>56.38</v>
      </c>
      <c r="N4" s="39">
        <v>45476.0</v>
      </c>
      <c r="O4" s="40">
        <f t="shared" si="4"/>
        <v>94.92</v>
      </c>
      <c r="P4" s="5">
        <f t="shared" si="5"/>
        <v>355.86</v>
      </c>
      <c r="Q4" s="5">
        <f t="shared" si="2"/>
        <v>118.62</v>
      </c>
      <c r="R4" s="9">
        <f t="shared" si="3"/>
        <v>3677.22</v>
      </c>
    </row>
    <row r="5">
      <c r="A5" s="39">
        <v>45474.0</v>
      </c>
      <c r="B5" s="4" t="s">
        <v>252</v>
      </c>
      <c r="C5" s="21">
        <v>9.0</v>
      </c>
      <c r="E5" s="1" t="s">
        <v>210</v>
      </c>
      <c r="F5" s="5">
        <f t="shared" si="6"/>
        <v>141.94</v>
      </c>
      <c r="K5" s="1" t="s">
        <v>62</v>
      </c>
      <c r="L5" s="5">
        <f t="shared" si="1"/>
        <v>19.35</v>
      </c>
      <c r="N5" s="39">
        <v>45477.0</v>
      </c>
      <c r="O5" s="40">
        <f t="shared" si="4"/>
        <v>16.29</v>
      </c>
      <c r="P5" s="5">
        <f t="shared" si="5"/>
        <v>372.15</v>
      </c>
      <c r="Q5" s="5">
        <f t="shared" si="2"/>
        <v>93.0375</v>
      </c>
      <c r="R5" s="9">
        <f t="shared" si="3"/>
        <v>2884.1625</v>
      </c>
    </row>
    <row r="6">
      <c r="A6" s="39">
        <v>45474.0</v>
      </c>
      <c r="B6" s="4" t="s">
        <v>141</v>
      </c>
      <c r="C6" s="4">
        <v>45.0</v>
      </c>
      <c r="E6" s="1" t="s">
        <v>57</v>
      </c>
      <c r="F6" s="5">
        <f>sum(L:L)+sumif(B:B,"Groceries",C:C)</f>
        <v>251.53</v>
      </c>
      <c r="H6" s="1" t="s">
        <v>65</v>
      </c>
      <c r="I6" s="21">
        <f>4822.3-420</f>
        <v>4402.3</v>
      </c>
      <c r="N6" s="39">
        <v>45478.0</v>
      </c>
      <c r="O6" s="40">
        <f t="shared" si="4"/>
        <v>148.09</v>
      </c>
      <c r="P6" s="5">
        <f t="shared" si="5"/>
        <v>520.24</v>
      </c>
      <c r="Q6" s="5">
        <f t="shared" si="2"/>
        <v>104.048</v>
      </c>
      <c r="R6" s="9">
        <f t="shared" si="3"/>
        <v>3225.488</v>
      </c>
    </row>
    <row r="7">
      <c r="A7" s="39">
        <v>45474.0</v>
      </c>
      <c r="B7" s="4" t="s">
        <v>333</v>
      </c>
      <c r="C7" s="21">
        <v>50.0</v>
      </c>
      <c r="E7" s="42" t="s">
        <v>61</v>
      </c>
      <c r="F7" s="5">
        <f>SUMIF(B:B,"Games",C:C)+SUMIF(B:B,"Spotify",C:C)+SUMIF(B:B,"Disney+",C:C)+SUMIF(B:B,"Book",C:C)+SUMIF(B:B,"Audible",C:C)+SUMIF(B:B,"Cinema",C:C)+SUMIF(B:B,"Theatre",C:C)+SUMIF(B:B,"Streaming",C:C)</f>
        <v>134.61</v>
      </c>
      <c r="H7" s="1" t="s">
        <v>68</v>
      </c>
      <c r="I7" s="5">
        <f>sum(C:C)</f>
        <v>4069.33</v>
      </c>
      <c r="N7" s="39">
        <v>45479.0</v>
      </c>
      <c r="O7" s="40">
        <f t="shared" si="4"/>
        <v>68.59</v>
      </c>
      <c r="P7" s="5">
        <f t="shared" si="5"/>
        <v>588.83</v>
      </c>
      <c r="Q7" s="5">
        <f t="shared" si="2"/>
        <v>98.13833333</v>
      </c>
      <c r="R7" s="9">
        <f t="shared" si="3"/>
        <v>3042.288333</v>
      </c>
    </row>
    <row r="8">
      <c r="A8" s="39">
        <v>45474.0</v>
      </c>
      <c r="B8" s="4" t="s">
        <v>64</v>
      </c>
      <c r="C8" s="21">
        <v>90.0</v>
      </c>
      <c r="E8" s="1" t="s">
        <v>64</v>
      </c>
      <c r="F8" s="5">
        <f>SUMIF(B:B,E8,C:C)+SUMIF(B:B,"Shoes",C:C)</f>
        <v>189.19</v>
      </c>
      <c r="H8" s="1" t="s">
        <v>72</v>
      </c>
      <c r="I8" s="5">
        <f>sum(F:F)+I2+C2</f>
        <v>3755.82</v>
      </c>
      <c r="N8" s="39">
        <v>45480.0</v>
      </c>
      <c r="O8" s="40">
        <f t="shared" si="4"/>
        <v>80.46</v>
      </c>
      <c r="P8" s="5">
        <f t="shared" si="5"/>
        <v>669.29</v>
      </c>
      <c r="Q8" s="5">
        <f t="shared" si="2"/>
        <v>95.61285714</v>
      </c>
      <c r="R8" s="9">
        <f t="shared" si="3"/>
        <v>2963.998571</v>
      </c>
    </row>
    <row r="9">
      <c r="A9" s="39">
        <v>45474.0</v>
      </c>
      <c r="B9" s="4" t="s">
        <v>127</v>
      </c>
      <c r="C9" s="21">
        <v>3.8</v>
      </c>
      <c r="E9" s="1" t="s">
        <v>54</v>
      </c>
      <c r="F9" s="5">
        <f>SUMIF(B:B,E9,C:C)+SUMIF(B:B,"Phone",C:C)</f>
        <v>1114</v>
      </c>
      <c r="H9" s="1" t="s">
        <v>74</v>
      </c>
      <c r="I9" s="5">
        <f>I7-I8</f>
        <v>313.51</v>
      </c>
      <c r="N9" s="39">
        <v>45481.0</v>
      </c>
      <c r="O9" s="40">
        <f t="shared" si="4"/>
        <v>77.8</v>
      </c>
      <c r="P9" s="5">
        <f t="shared" si="5"/>
        <v>747.09</v>
      </c>
      <c r="Q9" s="5">
        <f t="shared" si="2"/>
        <v>93.38625</v>
      </c>
      <c r="R9" s="9">
        <f t="shared" si="3"/>
        <v>2894.97375</v>
      </c>
    </row>
    <row r="10">
      <c r="A10" s="39">
        <v>45474.0</v>
      </c>
      <c r="B10" s="4" t="s">
        <v>230</v>
      </c>
      <c r="C10" s="21">
        <v>29.95</v>
      </c>
      <c r="E10" s="1" t="s">
        <v>127</v>
      </c>
      <c r="F10" s="5">
        <f>SUMIF(B:B,E10,C:C)</f>
        <v>82.05</v>
      </c>
      <c r="N10" s="39">
        <v>45482.0</v>
      </c>
      <c r="O10" s="40">
        <f t="shared" si="4"/>
        <v>28.96</v>
      </c>
      <c r="P10" s="5">
        <f t="shared" si="5"/>
        <v>776.05</v>
      </c>
      <c r="Q10" s="5">
        <f t="shared" si="2"/>
        <v>86.22777778</v>
      </c>
      <c r="R10" s="9">
        <f t="shared" si="3"/>
        <v>2673.061111</v>
      </c>
    </row>
    <row r="11">
      <c r="A11" s="39">
        <v>45474.0</v>
      </c>
      <c r="B11" s="4" t="s">
        <v>47</v>
      </c>
      <c r="C11" s="21">
        <v>13.1</v>
      </c>
      <c r="E11" s="1" t="s">
        <v>164</v>
      </c>
      <c r="F11" s="48">
        <f>SUMIF(B:B,"Cigs",C:C) + SUMIF(B:B,"Snus",C:C)</f>
        <v>13</v>
      </c>
      <c r="H11" s="1" t="s">
        <v>3</v>
      </c>
      <c r="I11" s="28">
        <f>I4/I6</f>
        <v>0.4163664448</v>
      </c>
      <c r="N11" s="39">
        <v>45483.0</v>
      </c>
      <c r="O11" s="40">
        <f t="shared" si="4"/>
        <v>17.49</v>
      </c>
      <c r="P11" s="5">
        <f t="shared" si="5"/>
        <v>793.54</v>
      </c>
      <c r="Q11" s="5">
        <f t="shared" si="2"/>
        <v>79.354</v>
      </c>
      <c r="R11" s="9">
        <f t="shared" si="3"/>
        <v>2459.974</v>
      </c>
    </row>
    <row r="12">
      <c r="A12" s="39">
        <v>45475.0</v>
      </c>
      <c r="B12" s="4" t="s">
        <v>71</v>
      </c>
      <c r="C12" s="4">
        <v>10.69</v>
      </c>
      <c r="E12" s="1" t="s">
        <v>73</v>
      </c>
      <c r="F12" s="5">
        <f>SUMIF(B:B,"Uber",C:C)</f>
        <v>37.89</v>
      </c>
      <c r="N12" s="39">
        <v>45484.0</v>
      </c>
      <c r="O12" s="40">
        <f t="shared" si="4"/>
        <v>23.5</v>
      </c>
      <c r="P12" s="5">
        <f t="shared" si="5"/>
        <v>817.04</v>
      </c>
      <c r="Q12" s="5">
        <f t="shared" si="2"/>
        <v>74.27636364</v>
      </c>
      <c r="R12" s="9">
        <f t="shared" si="3"/>
        <v>2302.567273</v>
      </c>
    </row>
    <row r="13">
      <c r="A13" s="39">
        <v>45475.0</v>
      </c>
      <c r="B13" s="4" t="s">
        <v>59</v>
      </c>
      <c r="C13" s="4">
        <v>18.4</v>
      </c>
      <c r="E13" s="1" t="s">
        <v>75</v>
      </c>
      <c r="F13" s="40">
        <f>SUMIF(B:B,"Gym",C:C)+SUMIF(B:B,"Climbing",C:C)+SUMIF(B:B,"Tennis",C:C)</f>
        <v>52.99</v>
      </c>
      <c r="N13" s="39">
        <v>45485.0</v>
      </c>
      <c r="O13" s="40">
        <f t="shared" si="4"/>
        <v>30.9</v>
      </c>
      <c r="P13" s="5">
        <f t="shared" si="5"/>
        <v>847.94</v>
      </c>
      <c r="Q13" s="5">
        <f t="shared" si="2"/>
        <v>70.66166667</v>
      </c>
      <c r="R13" s="9">
        <f t="shared" si="3"/>
        <v>2190.511667</v>
      </c>
    </row>
    <row r="14">
      <c r="A14" s="39">
        <v>45476.0</v>
      </c>
      <c r="B14" s="4" t="s">
        <v>209</v>
      </c>
      <c r="C14" s="21">
        <v>5.49</v>
      </c>
      <c r="E14" s="1" t="s">
        <v>76</v>
      </c>
      <c r="F14" s="5">
        <f>SUMIF(B:B,"Coffee",C:C)</f>
        <v>7.8</v>
      </c>
      <c r="H14" s="19"/>
      <c r="N14" s="39">
        <v>45486.0</v>
      </c>
      <c r="O14" s="40">
        <f t="shared" si="4"/>
        <v>20.89</v>
      </c>
      <c r="P14" s="5">
        <f t="shared" si="5"/>
        <v>868.83</v>
      </c>
      <c r="Q14" s="5">
        <f t="shared" si="2"/>
        <v>66.83307692</v>
      </c>
      <c r="R14" s="9">
        <f t="shared" si="3"/>
        <v>2071.825385</v>
      </c>
    </row>
    <row r="15">
      <c r="A15" s="39">
        <v>45476.0</v>
      </c>
      <c r="B15" s="4" t="s">
        <v>271</v>
      </c>
      <c r="C15" s="21">
        <v>8.0</v>
      </c>
      <c r="E15" s="1"/>
      <c r="H15" s="19"/>
      <c r="N15" s="39">
        <v>45487.0</v>
      </c>
      <c r="O15" s="40">
        <f t="shared" si="4"/>
        <v>13.1</v>
      </c>
      <c r="P15" s="5">
        <f t="shared" si="5"/>
        <v>881.93</v>
      </c>
      <c r="Q15" s="5">
        <f t="shared" si="2"/>
        <v>62.995</v>
      </c>
      <c r="R15" s="9">
        <f t="shared" si="3"/>
        <v>1952.845</v>
      </c>
    </row>
    <row r="16">
      <c r="A16" s="39">
        <v>45476.0</v>
      </c>
      <c r="B16" s="4" t="s">
        <v>334</v>
      </c>
      <c r="C16" s="21">
        <v>50.44</v>
      </c>
      <c r="E16" s="1"/>
      <c r="H16" s="19"/>
      <c r="N16" s="39">
        <v>45488.0</v>
      </c>
      <c r="O16" s="40">
        <f t="shared" si="4"/>
        <v>31.24</v>
      </c>
      <c r="P16" s="5">
        <f t="shared" si="5"/>
        <v>913.17</v>
      </c>
      <c r="Q16" s="5">
        <f t="shared" si="2"/>
        <v>60.878</v>
      </c>
      <c r="R16" s="9">
        <f t="shared" si="3"/>
        <v>1887.218</v>
      </c>
    </row>
    <row r="17">
      <c r="A17" s="39">
        <v>45476.0</v>
      </c>
      <c r="B17" s="4" t="s">
        <v>119</v>
      </c>
      <c r="C17" s="21">
        <v>10.99</v>
      </c>
      <c r="H17" s="19"/>
      <c r="N17" s="39">
        <v>45489.0</v>
      </c>
      <c r="O17" s="40">
        <f t="shared" si="4"/>
        <v>38.13</v>
      </c>
      <c r="P17" s="5">
        <f t="shared" si="5"/>
        <v>951.3</v>
      </c>
      <c r="Q17" s="5">
        <f t="shared" si="2"/>
        <v>59.45625</v>
      </c>
      <c r="R17" s="9">
        <f t="shared" si="3"/>
        <v>1843.14375</v>
      </c>
    </row>
    <row r="18">
      <c r="A18" s="39">
        <v>45476.0</v>
      </c>
      <c r="B18" s="4" t="s">
        <v>210</v>
      </c>
      <c r="C18" s="21">
        <f>32.6+5.5-(14.5+3.6)</f>
        <v>20</v>
      </c>
      <c r="H18" s="19"/>
      <c r="N18" s="39">
        <v>45490.0</v>
      </c>
      <c r="O18" s="40">
        <f t="shared" si="4"/>
        <v>15.45</v>
      </c>
      <c r="P18" s="5">
        <f t="shared" si="5"/>
        <v>966.75</v>
      </c>
      <c r="Q18" s="5">
        <f t="shared" si="2"/>
        <v>56.86764706</v>
      </c>
      <c r="R18" s="9">
        <f t="shared" si="3"/>
        <v>1762.897059</v>
      </c>
    </row>
    <row r="19">
      <c r="A19" s="39">
        <v>45477.0</v>
      </c>
      <c r="B19" s="4" t="s">
        <v>140</v>
      </c>
      <c r="C19" s="21">
        <v>8.79</v>
      </c>
      <c r="H19" s="19"/>
      <c r="N19" s="39">
        <v>45491.0</v>
      </c>
      <c r="O19" s="40">
        <f t="shared" si="4"/>
        <v>21.75</v>
      </c>
      <c r="P19" s="5">
        <f t="shared" si="5"/>
        <v>988.5</v>
      </c>
      <c r="Q19" s="5">
        <f t="shared" si="2"/>
        <v>54.91666667</v>
      </c>
      <c r="R19" s="9">
        <f t="shared" si="3"/>
        <v>1702.416667</v>
      </c>
    </row>
    <row r="20">
      <c r="A20" s="39">
        <v>45477.0</v>
      </c>
      <c r="B20" s="4" t="s">
        <v>127</v>
      </c>
      <c r="C20" s="21">
        <v>7.5</v>
      </c>
      <c r="H20" s="19"/>
      <c r="N20" s="39">
        <v>45492.0</v>
      </c>
      <c r="O20" s="40">
        <f t="shared" si="4"/>
        <v>30.44</v>
      </c>
      <c r="P20" s="5">
        <f t="shared" si="5"/>
        <v>1018.94</v>
      </c>
      <c r="Q20" s="5">
        <f t="shared" si="2"/>
        <v>53.62842105</v>
      </c>
      <c r="R20" s="9">
        <f t="shared" si="3"/>
        <v>1662.481053</v>
      </c>
    </row>
    <row r="21">
      <c r="A21" s="39">
        <v>45478.0</v>
      </c>
      <c r="B21" s="4" t="s">
        <v>127</v>
      </c>
      <c r="C21" s="21">
        <v>3.7</v>
      </c>
      <c r="E21" s="19"/>
      <c r="F21" s="5"/>
      <c r="H21" s="19"/>
      <c r="N21" s="39">
        <v>45493.0</v>
      </c>
      <c r="O21" s="40">
        <f t="shared" si="4"/>
        <v>61.39</v>
      </c>
      <c r="P21" s="5">
        <f t="shared" si="5"/>
        <v>1080.33</v>
      </c>
      <c r="Q21" s="5">
        <f t="shared" si="2"/>
        <v>54.0165</v>
      </c>
      <c r="R21" s="9">
        <f t="shared" si="3"/>
        <v>1674.5115</v>
      </c>
    </row>
    <row r="22">
      <c r="A22" s="39">
        <v>45478.0</v>
      </c>
      <c r="B22" s="4" t="s">
        <v>263</v>
      </c>
      <c r="C22" s="21">
        <v>21.5</v>
      </c>
      <c r="E22" s="19"/>
      <c r="F22" s="5"/>
      <c r="H22" s="19"/>
      <c r="N22" s="39">
        <v>45494.0</v>
      </c>
      <c r="O22" s="40">
        <f t="shared" si="4"/>
        <v>113.45</v>
      </c>
      <c r="P22" s="5">
        <f t="shared" si="5"/>
        <v>1193.78</v>
      </c>
      <c r="Q22" s="5">
        <f t="shared" si="2"/>
        <v>56.84666667</v>
      </c>
      <c r="R22" s="9">
        <f t="shared" si="3"/>
        <v>1762.246667</v>
      </c>
    </row>
    <row r="23">
      <c r="A23" s="39">
        <v>45478.0</v>
      </c>
      <c r="B23" s="4" t="s">
        <v>45</v>
      </c>
      <c r="C23" s="21">
        <f>7.65+13+20.65</f>
        <v>41.3</v>
      </c>
      <c r="E23" s="19"/>
      <c r="F23" s="5"/>
      <c r="H23" s="19"/>
      <c r="N23" s="39">
        <v>45495.0</v>
      </c>
      <c r="O23" s="40">
        <f t="shared" si="4"/>
        <v>18.11</v>
      </c>
      <c r="P23" s="5">
        <f t="shared" si="5"/>
        <v>1211.89</v>
      </c>
      <c r="Q23" s="5">
        <f t="shared" si="2"/>
        <v>55.08590909</v>
      </c>
      <c r="R23" s="9">
        <f t="shared" si="3"/>
        <v>1707.663182</v>
      </c>
    </row>
    <row r="24">
      <c r="A24" s="39">
        <v>45478.0</v>
      </c>
      <c r="B24" s="4" t="s">
        <v>210</v>
      </c>
      <c r="C24" s="21">
        <v>77.0</v>
      </c>
      <c r="E24" s="19"/>
      <c r="F24" s="5"/>
      <c r="H24" s="19"/>
      <c r="N24" s="39">
        <v>45496.0</v>
      </c>
      <c r="O24" s="40">
        <f t="shared" si="4"/>
        <v>10.75</v>
      </c>
      <c r="P24" s="5">
        <f t="shared" si="5"/>
        <v>1222.64</v>
      </c>
      <c r="Q24" s="5">
        <f t="shared" si="2"/>
        <v>53.15826087</v>
      </c>
      <c r="R24" s="9">
        <f t="shared" si="3"/>
        <v>1647.906087</v>
      </c>
    </row>
    <row r="25">
      <c r="A25" s="39">
        <v>45478.0</v>
      </c>
      <c r="B25" s="4" t="s">
        <v>59</v>
      </c>
      <c r="C25" s="21">
        <v>4.59</v>
      </c>
      <c r="E25" s="19"/>
      <c r="F25" s="5"/>
      <c r="H25" s="19"/>
      <c r="N25" s="39">
        <v>45497.0</v>
      </c>
      <c r="O25" s="40">
        <f t="shared" si="4"/>
        <v>6.3</v>
      </c>
      <c r="P25" s="5">
        <f t="shared" si="5"/>
        <v>1228.94</v>
      </c>
      <c r="Q25" s="5">
        <f t="shared" si="2"/>
        <v>51.20583333</v>
      </c>
      <c r="R25" s="9">
        <f t="shared" si="3"/>
        <v>1587.380833</v>
      </c>
    </row>
    <row r="26">
      <c r="A26" s="39">
        <v>45479.0</v>
      </c>
      <c r="B26" s="4" t="s">
        <v>47</v>
      </c>
      <c r="C26" s="40">
        <f>2.7+10.66</f>
        <v>13.36</v>
      </c>
      <c r="E26" s="19"/>
      <c r="F26" s="5"/>
      <c r="H26" s="19"/>
      <c r="N26" s="39">
        <v>45498.0</v>
      </c>
      <c r="O26" s="40">
        <f t="shared" si="4"/>
        <v>62.48</v>
      </c>
      <c r="P26" s="5">
        <f t="shared" si="5"/>
        <v>1291.42</v>
      </c>
      <c r="Q26" s="5">
        <f t="shared" si="2"/>
        <v>51.6568</v>
      </c>
      <c r="R26" s="9">
        <f t="shared" si="3"/>
        <v>1601.3608</v>
      </c>
    </row>
    <row r="27">
      <c r="A27" s="39">
        <v>45479.0</v>
      </c>
      <c r="B27" s="4" t="s">
        <v>254</v>
      </c>
      <c r="C27" s="21">
        <v>11.99</v>
      </c>
      <c r="E27" s="19"/>
      <c r="F27" s="5"/>
      <c r="H27" s="19"/>
      <c r="N27" s="39">
        <v>45499.0</v>
      </c>
      <c r="O27" s="40">
        <f t="shared" si="4"/>
        <v>33.53</v>
      </c>
      <c r="P27" s="5">
        <f t="shared" si="5"/>
        <v>1324.95</v>
      </c>
      <c r="Q27" s="5">
        <f t="shared" si="2"/>
        <v>50.95961538</v>
      </c>
      <c r="R27" s="9">
        <f t="shared" si="3"/>
        <v>1579.748077</v>
      </c>
    </row>
    <row r="28">
      <c r="A28" s="39">
        <v>45479.0</v>
      </c>
      <c r="B28" s="4" t="s">
        <v>45</v>
      </c>
      <c r="C28" s="21">
        <v>14.14</v>
      </c>
      <c r="E28" s="19"/>
      <c r="F28" s="5"/>
      <c r="H28" s="19"/>
      <c r="N28" s="39">
        <v>45500.0</v>
      </c>
      <c r="O28" s="40">
        <f t="shared" si="4"/>
        <v>61.24</v>
      </c>
      <c r="P28" s="5">
        <f t="shared" si="5"/>
        <v>1386.19</v>
      </c>
      <c r="Q28" s="5">
        <f t="shared" si="2"/>
        <v>51.34037037</v>
      </c>
      <c r="R28" s="9">
        <f t="shared" si="3"/>
        <v>1591.551481</v>
      </c>
    </row>
    <row r="29">
      <c r="A29" s="39">
        <v>45479.0</v>
      </c>
      <c r="B29" s="4" t="s">
        <v>127</v>
      </c>
      <c r="C29" s="21">
        <v>2.0</v>
      </c>
      <c r="E29" s="19"/>
      <c r="F29" s="5"/>
      <c r="H29" s="19"/>
      <c r="N29" s="39">
        <v>45501.0</v>
      </c>
      <c r="O29" s="40">
        <f t="shared" si="4"/>
        <v>10.16</v>
      </c>
      <c r="P29" s="5">
        <f t="shared" si="5"/>
        <v>1396.35</v>
      </c>
      <c r="Q29" s="5">
        <f t="shared" si="2"/>
        <v>49.86964286</v>
      </c>
      <c r="R29" s="9">
        <f t="shared" si="3"/>
        <v>1545.958929</v>
      </c>
    </row>
    <row r="30">
      <c r="A30" s="39">
        <v>45479.0</v>
      </c>
      <c r="B30" s="4" t="s">
        <v>45</v>
      </c>
      <c r="C30" s="21">
        <v>6.6</v>
      </c>
      <c r="E30" s="19"/>
      <c r="F30" s="5"/>
      <c r="H30" s="19"/>
      <c r="N30" s="39">
        <v>45502.0</v>
      </c>
      <c r="O30" s="40">
        <f t="shared" si="4"/>
        <v>18.43</v>
      </c>
      <c r="P30" s="5">
        <f t="shared" si="5"/>
        <v>1414.78</v>
      </c>
      <c r="Q30" s="5">
        <f t="shared" si="2"/>
        <v>48.78551724</v>
      </c>
      <c r="R30" s="9">
        <f t="shared" si="3"/>
        <v>1512.351034</v>
      </c>
    </row>
    <row r="31">
      <c r="A31" s="39">
        <v>45479.0</v>
      </c>
      <c r="B31" s="4" t="s">
        <v>127</v>
      </c>
      <c r="C31" s="21">
        <v>7.3</v>
      </c>
      <c r="E31" s="19"/>
      <c r="F31" s="5"/>
      <c r="H31" s="19"/>
      <c r="N31" s="39">
        <v>45503.0</v>
      </c>
      <c r="O31" s="40">
        <f t="shared" si="4"/>
        <v>17.31</v>
      </c>
      <c r="P31" s="5">
        <f t="shared" si="5"/>
        <v>1432.09</v>
      </c>
      <c r="Q31" s="5">
        <f t="shared" si="2"/>
        <v>47.73633333</v>
      </c>
      <c r="R31" s="9">
        <f t="shared" si="3"/>
        <v>1479.826333</v>
      </c>
    </row>
    <row r="32">
      <c r="A32" s="39">
        <v>45479.0</v>
      </c>
      <c r="B32" s="4" t="s">
        <v>45</v>
      </c>
      <c r="C32" s="21">
        <v>13.2</v>
      </c>
      <c r="E32" s="19"/>
      <c r="F32" s="5"/>
      <c r="H32" s="19"/>
      <c r="N32" s="39">
        <v>45504.0</v>
      </c>
      <c r="O32" s="40">
        <f t="shared" si="4"/>
        <v>23.24</v>
      </c>
      <c r="P32" s="5">
        <f t="shared" si="5"/>
        <v>1455.33</v>
      </c>
      <c r="Q32" s="5">
        <f t="shared" si="2"/>
        <v>46.94612903</v>
      </c>
      <c r="R32" s="9">
        <f t="shared" si="3"/>
        <v>1455.33</v>
      </c>
    </row>
    <row r="33">
      <c r="A33" s="39">
        <v>45480.0</v>
      </c>
      <c r="B33" s="4" t="s">
        <v>127</v>
      </c>
      <c r="C33" s="21">
        <f>2+2.8</f>
        <v>4.8</v>
      </c>
      <c r="E33" s="19"/>
      <c r="F33" s="5"/>
      <c r="H33" s="19"/>
      <c r="N33" s="39"/>
      <c r="Q33" s="5"/>
      <c r="R33" s="9"/>
    </row>
    <row r="34">
      <c r="A34" s="39">
        <v>45480.0</v>
      </c>
      <c r="B34" s="4" t="s">
        <v>209</v>
      </c>
      <c r="C34" s="4">
        <v>8.41</v>
      </c>
      <c r="E34" s="19"/>
      <c r="F34" s="5"/>
      <c r="H34" s="19"/>
      <c r="Q34" s="5"/>
      <c r="R34" s="9"/>
    </row>
    <row r="35">
      <c r="A35" s="39">
        <v>45480.0</v>
      </c>
      <c r="B35" s="4" t="s">
        <v>230</v>
      </c>
      <c r="C35" s="21">
        <v>17.61</v>
      </c>
      <c r="E35" s="19"/>
      <c r="F35" s="5"/>
      <c r="H35" s="19"/>
      <c r="Q35" s="5"/>
      <c r="R35" s="9"/>
    </row>
    <row r="36">
      <c r="A36" s="39">
        <v>45480.0</v>
      </c>
      <c r="B36" s="4" t="s">
        <v>324</v>
      </c>
      <c r="C36" s="4">
        <v>13.57</v>
      </c>
      <c r="E36" s="19"/>
      <c r="F36" s="5"/>
      <c r="H36" s="19"/>
      <c r="Q36" s="5"/>
      <c r="R36" s="9"/>
    </row>
    <row r="37">
      <c r="A37" s="39">
        <v>45480.0</v>
      </c>
      <c r="B37" s="4" t="s">
        <v>64</v>
      </c>
      <c r="C37" s="21">
        <v>17.99</v>
      </c>
      <c r="E37" s="19"/>
      <c r="F37" s="5"/>
      <c r="H37" s="19"/>
      <c r="Q37" s="5"/>
      <c r="R37" s="9"/>
    </row>
    <row r="38">
      <c r="A38" s="39">
        <v>45480.0</v>
      </c>
      <c r="B38" s="4" t="s">
        <v>296</v>
      </c>
      <c r="C38" s="21">
        <v>11.99</v>
      </c>
      <c r="E38" s="19"/>
      <c r="F38" s="5"/>
      <c r="H38" s="19"/>
      <c r="Q38" s="5"/>
      <c r="R38" s="9"/>
    </row>
    <row r="39">
      <c r="A39" s="39">
        <v>45480.0</v>
      </c>
      <c r="B39" s="4" t="s">
        <v>123</v>
      </c>
      <c r="C39" s="21">
        <v>6.09</v>
      </c>
      <c r="E39" s="19"/>
      <c r="F39" s="5"/>
      <c r="H39" s="19"/>
      <c r="Q39" s="5"/>
      <c r="R39" s="9"/>
    </row>
    <row r="40">
      <c r="A40" s="39">
        <v>45481.0</v>
      </c>
      <c r="B40" s="4" t="s">
        <v>259</v>
      </c>
      <c r="C40" s="21">
        <v>61.05</v>
      </c>
      <c r="E40" s="19"/>
      <c r="F40" s="5"/>
      <c r="H40" s="19"/>
      <c r="Q40" s="5"/>
      <c r="R40" s="9"/>
    </row>
    <row r="41">
      <c r="A41" s="39">
        <v>45481.0</v>
      </c>
      <c r="B41" s="4" t="s">
        <v>47</v>
      </c>
      <c r="C41" s="21">
        <v>5.45</v>
      </c>
      <c r="E41" s="19"/>
      <c r="F41" s="5"/>
      <c r="H41" s="19"/>
      <c r="Q41" s="5"/>
      <c r="R41" s="9"/>
    </row>
    <row r="42">
      <c r="A42" s="39">
        <v>45481.0</v>
      </c>
      <c r="B42" s="4" t="s">
        <v>140</v>
      </c>
      <c r="C42" s="21">
        <v>8.5</v>
      </c>
      <c r="E42" s="19"/>
      <c r="F42" s="5"/>
      <c r="H42" s="19"/>
      <c r="Q42" s="5"/>
      <c r="R42" s="9"/>
    </row>
    <row r="43">
      <c r="A43" s="39">
        <v>45481.0</v>
      </c>
      <c r="B43" s="4" t="s">
        <v>127</v>
      </c>
      <c r="C43" s="21">
        <v>2.8</v>
      </c>
      <c r="E43" s="19"/>
      <c r="F43" s="5"/>
      <c r="H43" s="19"/>
      <c r="Q43" s="5"/>
      <c r="R43" s="9"/>
    </row>
    <row r="44">
      <c r="A44" s="39">
        <v>45482.0</v>
      </c>
      <c r="B44" s="4" t="s">
        <v>57</v>
      </c>
      <c r="C44" s="21">
        <v>2.75</v>
      </c>
      <c r="E44" s="19"/>
      <c r="F44" s="5"/>
      <c r="H44" s="19"/>
      <c r="Q44" s="5"/>
      <c r="R44" s="9"/>
    </row>
    <row r="45">
      <c r="A45" s="39">
        <v>45482.0</v>
      </c>
      <c r="B45" s="4" t="s">
        <v>47</v>
      </c>
      <c r="C45" s="21">
        <v>10.26</v>
      </c>
      <c r="E45" s="19"/>
      <c r="F45" s="5"/>
      <c r="H45" s="19"/>
      <c r="Q45" s="5"/>
      <c r="R45" s="9"/>
    </row>
    <row r="46">
      <c r="A46" s="39">
        <v>45482.0</v>
      </c>
      <c r="B46" s="4" t="s">
        <v>62</v>
      </c>
      <c r="C46" s="21">
        <f>21.45-5.5</f>
        <v>15.95</v>
      </c>
      <c r="E46" s="19"/>
      <c r="F46" s="5"/>
      <c r="H46" s="19"/>
      <c r="Q46" s="5"/>
      <c r="R46" s="9"/>
    </row>
    <row r="47">
      <c r="A47" s="39">
        <v>45483.0</v>
      </c>
      <c r="B47" s="4" t="s">
        <v>140</v>
      </c>
      <c r="C47" s="21">
        <v>12.5</v>
      </c>
      <c r="E47" s="19"/>
      <c r="F47" s="5"/>
      <c r="H47" s="19"/>
      <c r="Q47" s="5"/>
      <c r="R47" s="9"/>
    </row>
    <row r="48">
      <c r="A48" s="39">
        <v>45483.0</v>
      </c>
      <c r="B48" s="4" t="s">
        <v>210</v>
      </c>
      <c r="C48" s="21">
        <v>4.99</v>
      </c>
      <c r="E48" s="19"/>
      <c r="F48" s="5"/>
      <c r="H48" s="19"/>
      <c r="Q48" s="5"/>
      <c r="R48" s="9"/>
    </row>
    <row r="49">
      <c r="A49" s="39">
        <v>45484.0</v>
      </c>
      <c r="B49" s="4" t="s">
        <v>127</v>
      </c>
      <c r="C49" s="21">
        <v>6.8</v>
      </c>
      <c r="E49" s="19"/>
      <c r="F49" s="5"/>
      <c r="H49" s="19"/>
      <c r="Q49" s="5"/>
      <c r="R49" s="9"/>
    </row>
    <row r="50">
      <c r="A50" s="39">
        <v>45484.0</v>
      </c>
      <c r="B50" s="4" t="s">
        <v>119</v>
      </c>
      <c r="C50" s="21">
        <v>5.5</v>
      </c>
      <c r="E50" s="19"/>
      <c r="F50" s="5"/>
      <c r="H50" s="19"/>
      <c r="Q50" s="5"/>
      <c r="R50" s="9"/>
    </row>
    <row r="51">
      <c r="A51" s="39">
        <v>45484.0</v>
      </c>
      <c r="B51" s="4" t="s">
        <v>47</v>
      </c>
      <c r="C51" s="21">
        <v>9.7</v>
      </c>
      <c r="E51" s="19"/>
      <c r="F51" s="5"/>
      <c r="H51" s="19"/>
      <c r="Q51" s="5"/>
      <c r="R51" s="9"/>
    </row>
    <row r="52">
      <c r="A52" s="39">
        <v>45484.0</v>
      </c>
      <c r="B52" s="4" t="s">
        <v>57</v>
      </c>
      <c r="C52" s="21">
        <v>1.5</v>
      </c>
      <c r="E52" s="19"/>
      <c r="F52" s="5"/>
      <c r="H52" s="19"/>
      <c r="Q52" s="5"/>
      <c r="R52" s="9"/>
    </row>
    <row r="53">
      <c r="A53" s="39">
        <v>45485.0</v>
      </c>
      <c r="B53" s="4" t="s">
        <v>110</v>
      </c>
      <c r="C53" s="21">
        <v>14.0</v>
      </c>
      <c r="E53" s="19"/>
      <c r="F53" s="5"/>
      <c r="H53" s="19"/>
      <c r="Q53" s="5"/>
      <c r="R53" s="9"/>
    </row>
    <row r="54">
      <c r="A54" s="39">
        <v>45485.0</v>
      </c>
      <c r="B54" s="4" t="s">
        <v>47</v>
      </c>
      <c r="C54" s="21">
        <v>11.0</v>
      </c>
      <c r="E54" s="19"/>
      <c r="F54" s="5"/>
      <c r="H54" s="19"/>
      <c r="Q54" s="5"/>
      <c r="R54" s="9"/>
    </row>
    <row r="55">
      <c r="A55" s="39">
        <v>45485.0</v>
      </c>
      <c r="B55" s="4" t="s">
        <v>127</v>
      </c>
      <c r="C55" s="21">
        <v>3.7</v>
      </c>
      <c r="E55" s="19"/>
      <c r="F55" s="5"/>
      <c r="H55" s="19"/>
      <c r="Q55" s="5"/>
      <c r="R55" s="9"/>
    </row>
    <row r="56">
      <c r="A56" s="39">
        <v>45485.0</v>
      </c>
      <c r="B56" s="4" t="s">
        <v>47</v>
      </c>
      <c r="C56" s="21">
        <v>2.2</v>
      </c>
      <c r="E56" s="19"/>
      <c r="F56" s="5"/>
      <c r="H56" s="19"/>
      <c r="Q56" s="5"/>
      <c r="R56" s="9"/>
    </row>
    <row r="57">
      <c r="A57" s="39">
        <v>45486.0</v>
      </c>
      <c r="B57" s="4" t="s">
        <v>76</v>
      </c>
      <c r="C57" s="21">
        <v>4.0</v>
      </c>
      <c r="E57" s="19"/>
      <c r="F57" s="5"/>
      <c r="H57" s="19"/>
      <c r="Q57" s="5"/>
      <c r="R57" s="9"/>
    </row>
    <row r="58">
      <c r="A58" s="39">
        <v>45486.0</v>
      </c>
      <c r="B58" s="4" t="s">
        <v>52</v>
      </c>
      <c r="C58" s="43">
        <v>14.99</v>
      </c>
      <c r="E58" s="19"/>
      <c r="F58" s="5"/>
      <c r="H58" s="19"/>
      <c r="Q58" s="5"/>
      <c r="R58" s="9"/>
    </row>
    <row r="59">
      <c r="A59" s="39">
        <v>45486.0</v>
      </c>
      <c r="B59" s="4" t="s">
        <v>127</v>
      </c>
      <c r="C59" s="21">
        <v>1.9</v>
      </c>
      <c r="E59" s="19"/>
      <c r="F59" s="5"/>
      <c r="H59" s="19"/>
      <c r="Q59" s="5"/>
      <c r="R59" s="9"/>
    </row>
    <row r="60">
      <c r="A60" s="39">
        <v>45487.0</v>
      </c>
      <c r="B60" s="4" t="s">
        <v>59</v>
      </c>
      <c r="C60" s="21">
        <f>25.1-12</f>
        <v>13.1</v>
      </c>
      <c r="E60" s="19"/>
      <c r="F60" s="5"/>
      <c r="H60" s="19"/>
      <c r="Q60" s="5"/>
      <c r="R60" s="9"/>
    </row>
    <row r="61">
      <c r="A61" s="39">
        <v>45488.0</v>
      </c>
      <c r="B61" s="4" t="s">
        <v>127</v>
      </c>
      <c r="C61" s="21">
        <v>1.9</v>
      </c>
      <c r="E61" s="19"/>
      <c r="F61" s="5"/>
      <c r="H61" s="19"/>
      <c r="Q61" s="5"/>
      <c r="R61" s="9"/>
    </row>
    <row r="62">
      <c r="A62" s="39">
        <v>45488.0</v>
      </c>
      <c r="B62" s="4" t="s">
        <v>53</v>
      </c>
      <c r="C62" s="21">
        <f>34.34-7</f>
        <v>27.34</v>
      </c>
      <c r="E62" s="19"/>
      <c r="F62" s="5"/>
      <c r="H62" s="19"/>
      <c r="Q62" s="5"/>
      <c r="R62" s="9"/>
    </row>
    <row r="63">
      <c r="A63" s="39">
        <v>45488.0</v>
      </c>
      <c r="B63" s="4" t="s">
        <v>57</v>
      </c>
      <c r="C63" s="21">
        <v>2.0</v>
      </c>
      <c r="E63" s="19"/>
      <c r="F63" s="5"/>
      <c r="H63" s="19"/>
      <c r="Q63" s="5"/>
      <c r="R63" s="9"/>
    </row>
    <row r="64">
      <c r="A64" s="39">
        <v>45489.0</v>
      </c>
      <c r="B64" s="4" t="s">
        <v>335</v>
      </c>
      <c r="C64" s="21">
        <v>10.99</v>
      </c>
      <c r="E64" s="19"/>
      <c r="F64" s="5"/>
      <c r="H64" s="19"/>
      <c r="Q64" s="5"/>
      <c r="R64" s="9"/>
    </row>
    <row r="65">
      <c r="A65" s="39">
        <v>45489.0</v>
      </c>
      <c r="B65" s="4" t="s">
        <v>289</v>
      </c>
      <c r="C65" s="21">
        <v>7.46</v>
      </c>
      <c r="E65" s="19"/>
      <c r="F65" s="5"/>
      <c r="H65" s="19"/>
      <c r="Q65" s="5"/>
      <c r="R65" s="9"/>
    </row>
    <row r="66">
      <c r="A66" s="39">
        <v>45489.0</v>
      </c>
      <c r="B66" s="4" t="s">
        <v>73</v>
      </c>
      <c r="C66" s="21">
        <v>1.8</v>
      </c>
      <c r="E66" s="19"/>
      <c r="F66" s="5"/>
      <c r="H66" s="19"/>
      <c r="Q66" s="5"/>
      <c r="R66" s="9"/>
    </row>
    <row r="67">
      <c r="A67" s="39">
        <v>45489.0</v>
      </c>
      <c r="B67" s="4" t="s">
        <v>47</v>
      </c>
      <c r="C67" s="21">
        <v>2.0</v>
      </c>
      <c r="E67" s="19"/>
      <c r="F67" s="5"/>
      <c r="H67" s="19"/>
      <c r="Q67" s="5"/>
      <c r="R67" s="9"/>
    </row>
    <row r="68">
      <c r="A68" s="39">
        <v>45489.0</v>
      </c>
      <c r="B68" s="4" t="s">
        <v>336</v>
      </c>
      <c r="C68" s="21">
        <v>15.88</v>
      </c>
      <c r="E68" s="19"/>
      <c r="F68" s="5"/>
      <c r="H68" s="19"/>
      <c r="Q68" s="5"/>
      <c r="R68" s="9"/>
    </row>
    <row r="69">
      <c r="A69" s="39">
        <v>45490.0</v>
      </c>
      <c r="B69" s="4" t="s">
        <v>209</v>
      </c>
      <c r="C69" s="21">
        <v>3.0</v>
      </c>
      <c r="E69" s="19"/>
      <c r="F69" s="5"/>
      <c r="H69" s="19"/>
      <c r="Q69" s="5"/>
      <c r="R69" s="9"/>
    </row>
    <row r="70">
      <c r="A70" s="39">
        <v>45490.0</v>
      </c>
      <c r="B70" s="4" t="s">
        <v>140</v>
      </c>
      <c r="C70" s="21">
        <v>12.45</v>
      </c>
      <c r="E70" s="19"/>
      <c r="F70" s="5"/>
      <c r="H70" s="19"/>
      <c r="Q70" s="5"/>
      <c r="R70" s="9"/>
    </row>
    <row r="71">
      <c r="A71" s="39">
        <v>45491.0</v>
      </c>
      <c r="B71" s="4" t="s">
        <v>47</v>
      </c>
      <c r="C71" s="21">
        <v>5.16</v>
      </c>
      <c r="E71" s="19"/>
      <c r="F71" s="5"/>
      <c r="H71" s="19"/>
      <c r="Q71" s="5"/>
      <c r="R71" s="9"/>
    </row>
    <row r="72">
      <c r="A72" s="39">
        <v>45491.0</v>
      </c>
      <c r="B72" s="4" t="s">
        <v>140</v>
      </c>
      <c r="C72" s="21">
        <v>8.79</v>
      </c>
      <c r="E72" s="19"/>
      <c r="F72" s="5"/>
      <c r="H72" s="19"/>
      <c r="Q72" s="5"/>
      <c r="R72" s="9"/>
    </row>
    <row r="73">
      <c r="A73" s="39">
        <v>45491.0</v>
      </c>
      <c r="B73" s="4" t="s">
        <v>127</v>
      </c>
      <c r="C73" s="21">
        <v>6.8</v>
      </c>
      <c r="E73" s="19"/>
      <c r="F73" s="5"/>
      <c r="H73" s="19"/>
      <c r="Q73" s="5"/>
      <c r="R73" s="9"/>
    </row>
    <row r="74">
      <c r="A74" s="39">
        <v>45491.0</v>
      </c>
      <c r="B74" s="4" t="s">
        <v>57</v>
      </c>
      <c r="C74" s="21">
        <v>1.0</v>
      </c>
      <c r="E74" s="19"/>
      <c r="F74" s="5"/>
      <c r="H74" s="19"/>
      <c r="Q74" s="5"/>
      <c r="R74" s="9"/>
    </row>
    <row r="75">
      <c r="A75" s="39">
        <v>45492.0</v>
      </c>
      <c r="B75" s="4" t="s">
        <v>127</v>
      </c>
      <c r="C75" s="21">
        <v>3.7</v>
      </c>
      <c r="E75" s="19"/>
      <c r="F75" s="5"/>
      <c r="H75" s="19"/>
      <c r="Q75" s="5"/>
      <c r="R75" s="9"/>
    </row>
    <row r="76">
      <c r="A76" s="39">
        <v>45492.0</v>
      </c>
      <c r="B76" s="4" t="s">
        <v>89</v>
      </c>
      <c r="C76" s="21">
        <v>14.5</v>
      </c>
      <c r="E76" s="19"/>
      <c r="F76" s="5"/>
      <c r="H76" s="19"/>
      <c r="Q76" s="5"/>
      <c r="R76" s="9"/>
    </row>
    <row r="77">
      <c r="A77" s="39">
        <v>45492.0</v>
      </c>
      <c r="B77" s="4" t="s">
        <v>59</v>
      </c>
      <c r="C77" s="21">
        <v>6.6</v>
      </c>
      <c r="E77" s="19"/>
      <c r="F77" s="5"/>
      <c r="H77" s="19"/>
      <c r="Q77" s="5"/>
      <c r="R77" s="9"/>
    </row>
    <row r="78">
      <c r="A78" s="39">
        <v>45492.0</v>
      </c>
      <c r="B78" s="4" t="s">
        <v>337</v>
      </c>
      <c r="C78" s="4">
        <v>5.64</v>
      </c>
      <c r="E78" s="19"/>
      <c r="F78" s="5"/>
      <c r="H78" s="19"/>
      <c r="Q78" s="5"/>
      <c r="R78" s="9"/>
    </row>
    <row r="79">
      <c r="A79" s="39">
        <v>45493.0</v>
      </c>
      <c r="B79" s="4" t="s">
        <v>209</v>
      </c>
      <c r="C79" s="21">
        <v>5.5</v>
      </c>
      <c r="E79" s="19"/>
      <c r="F79" s="5"/>
      <c r="H79" s="19"/>
      <c r="Q79" s="5"/>
      <c r="R79" s="9"/>
    </row>
    <row r="80">
      <c r="A80" s="39">
        <v>45493.0</v>
      </c>
      <c r="B80" s="4" t="s">
        <v>62</v>
      </c>
      <c r="C80" s="21">
        <v>3.4</v>
      </c>
      <c r="E80" s="19"/>
      <c r="F80" s="5"/>
      <c r="H80" s="19"/>
      <c r="Q80" s="5"/>
      <c r="R80" s="9"/>
    </row>
    <row r="81">
      <c r="A81" s="39">
        <v>45493.0</v>
      </c>
      <c r="B81" s="4" t="s">
        <v>45</v>
      </c>
      <c r="C81" s="21">
        <v>19.5</v>
      </c>
      <c r="E81" s="19"/>
      <c r="F81" s="5"/>
      <c r="H81" s="19"/>
      <c r="Q81" s="5"/>
      <c r="R81" s="9"/>
    </row>
    <row r="82">
      <c r="A82" s="39">
        <v>45493.0</v>
      </c>
      <c r="B82" s="4" t="s">
        <v>164</v>
      </c>
      <c r="C82" s="21">
        <v>13.0</v>
      </c>
      <c r="E82" s="19"/>
      <c r="F82" s="5"/>
      <c r="H82" s="19"/>
      <c r="Q82" s="5"/>
      <c r="R82" s="9"/>
    </row>
    <row r="83">
      <c r="A83" s="39">
        <v>45493.0</v>
      </c>
      <c r="B83" s="4" t="s">
        <v>45</v>
      </c>
      <c r="C83" s="21">
        <v>6.0</v>
      </c>
      <c r="E83" s="19"/>
      <c r="F83" s="5"/>
      <c r="H83" s="19"/>
      <c r="Q83" s="5"/>
      <c r="R83" s="9"/>
    </row>
    <row r="84">
      <c r="A84" s="39">
        <v>45493.0</v>
      </c>
      <c r="B84" s="4" t="s">
        <v>127</v>
      </c>
      <c r="C84" s="21">
        <v>5.8</v>
      </c>
      <c r="E84" s="19"/>
      <c r="F84" s="5"/>
      <c r="H84" s="19"/>
      <c r="Q84" s="5"/>
      <c r="R84" s="9"/>
    </row>
    <row r="85">
      <c r="A85" s="39">
        <v>45493.0</v>
      </c>
      <c r="B85" s="4" t="s">
        <v>338</v>
      </c>
      <c r="C85" s="21">
        <v>8.19</v>
      </c>
      <c r="E85" s="19"/>
      <c r="F85" s="5"/>
      <c r="H85" s="19"/>
      <c r="Q85" s="5"/>
      <c r="R85" s="9"/>
    </row>
    <row r="86">
      <c r="A86" s="39">
        <v>45494.0</v>
      </c>
      <c r="B86" s="4" t="s">
        <v>210</v>
      </c>
      <c r="C86" s="21">
        <v>21.0</v>
      </c>
      <c r="E86" s="19"/>
      <c r="F86" s="5"/>
      <c r="H86" s="19"/>
      <c r="Q86" s="5"/>
      <c r="R86" s="9"/>
    </row>
    <row r="87">
      <c r="A87" s="39">
        <v>45494.0</v>
      </c>
      <c r="B87" s="4" t="s">
        <v>339</v>
      </c>
      <c r="C87" s="21">
        <v>13.0</v>
      </c>
      <c r="E87" s="19"/>
      <c r="F87" s="5"/>
      <c r="H87" s="19"/>
      <c r="Q87" s="5"/>
      <c r="R87" s="9"/>
    </row>
    <row r="88">
      <c r="A88" s="39">
        <v>45494.0</v>
      </c>
      <c r="B88" s="4" t="s">
        <v>73</v>
      </c>
      <c r="C88" s="21">
        <v>14.3</v>
      </c>
      <c r="E88" s="19"/>
      <c r="F88" s="5"/>
      <c r="H88" s="19"/>
      <c r="Q88" s="5"/>
      <c r="R88" s="9"/>
    </row>
    <row r="89">
      <c r="A89" s="39">
        <v>45494.0</v>
      </c>
      <c r="B89" s="4" t="s">
        <v>64</v>
      </c>
      <c r="C89" s="21">
        <v>59.7</v>
      </c>
      <c r="E89" s="19"/>
      <c r="F89" s="5"/>
      <c r="H89" s="19"/>
      <c r="Q89" s="5"/>
      <c r="R89" s="9"/>
    </row>
    <row r="90">
      <c r="A90" s="39">
        <v>45494.0</v>
      </c>
      <c r="B90" s="4" t="s">
        <v>127</v>
      </c>
      <c r="C90" s="21">
        <v>5.45</v>
      </c>
      <c r="E90" s="19"/>
      <c r="F90" s="5"/>
      <c r="H90" s="19"/>
      <c r="Q90" s="5"/>
      <c r="R90" s="9"/>
    </row>
    <row r="91">
      <c r="A91" s="39">
        <v>45495.0</v>
      </c>
      <c r="B91" s="4" t="s">
        <v>57</v>
      </c>
      <c r="C91" s="21">
        <v>8.1</v>
      </c>
      <c r="E91" s="19"/>
      <c r="F91" s="5"/>
      <c r="H91" s="19"/>
      <c r="Q91" s="5"/>
      <c r="R91" s="9"/>
    </row>
    <row r="92">
      <c r="A92" s="39">
        <v>45495.0</v>
      </c>
      <c r="B92" s="4" t="s">
        <v>127</v>
      </c>
      <c r="C92" s="21">
        <v>2.8</v>
      </c>
      <c r="E92" s="19"/>
      <c r="F92" s="5"/>
      <c r="H92" s="19"/>
      <c r="Q92" s="5"/>
      <c r="R92" s="9"/>
    </row>
    <row r="93">
      <c r="A93" s="39">
        <v>45495.0</v>
      </c>
      <c r="B93" s="4" t="s">
        <v>52</v>
      </c>
      <c r="C93" s="21">
        <v>7.21</v>
      </c>
      <c r="E93" s="19"/>
      <c r="F93" s="5"/>
      <c r="H93" s="19"/>
      <c r="Q93" s="5"/>
      <c r="R93" s="9"/>
    </row>
    <row r="94">
      <c r="A94" s="39">
        <v>45496.0</v>
      </c>
      <c r="B94" s="4" t="s">
        <v>127</v>
      </c>
      <c r="C94" s="21">
        <v>1.9</v>
      </c>
      <c r="E94" s="19"/>
      <c r="F94" s="5"/>
      <c r="H94" s="19"/>
      <c r="Q94" s="5"/>
      <c r="R94" s="9"/>
    </row>
    <row r="95">
      <c r="A95" s="39">
        <v>45496.0</v>
      </c>
      <c r="B95" s="4" t="s">
        <v>47</v>
      </c>
      <c r="C95" s="21">
        <v>8.85</v>
      </c>
      <c r="E95" s="19"/>
      <c r="F95" s="5"/>
      <c r="H95" s="19"/>
      <c r="Q95" s="5"/>
      <c r="R95" s="9"/>
    </row>
    <row r="96">
      <c r="A96" s="39">
        <v>45497.0</v>
      </c>
      <c r="B96" s="4" t="s">
        <v>47</v>
      </c>
      <c r="C96" s="21">
        <v>6.3</v>
      </c>
      <c r="E96" s="19"/>
      <c r="F96" s="5"/>
      <c r="H96" s="19"/>
      <c r="Q96" s="5"/>
      <c r="R96" s="9"/>
    </row>
    <row r="97">
      <c r="A97" s="39">
        <v>45498.0</v>
      </c>
      <c r="B97" s="4" t="s">
        <v>253</v>
      </c>
      <c r="C97" s="21">
        <v>44.99</v>
      </c>
      <c r="E97" s="19"/>
      <c r="F97" s="5"/>
      <c r="H97" s="19"/>
      <c r="Q97" s="5"/>
      <c r="R97" s="9"/>
    </row>
    <row r="98">
      <c r="A98" s="39">
        <v>45498.0</v>
      </c>
      <c r="B98" s="4" t="s">
        <v>59</v>
      </c>
      <c r="C98" s="21">
        <f>15.69-2</f>
        <v>13.69</v>
      </c>
      <c r="E98" s="19"/>
      <c r="F98" s="5"/>
      <c r="H98" s="19"/>
      <c r="Q98" s="5"/>
      <c r="R98" s="9"/>
    </row>
    <row r="99">
      <c r="A99" s="39">
        <v>45498.0</v>
      </c>
      <c r="B99" s="4" t="s">
        <v>127</v>
      </c>
      <c r="C99" s="21">
        <v>3.8</v>
      </c>
      <c r="E99" s="19"/>
      <c r="F99" s="5"/>
      <c r="H99" s="19"/>
      <c r="Q99" s="5"/>
      <c r="R99" s="9"/>
    </row>
    <row r="100">
      <c r="A100" s="39">
        <v>45499.0</v>
      </c>
      <c r="B100" s="4" t="s">
        <v>340</v>
      </c>
      <c r="C100" s="21">
        <v>2.78</v>
      </c>
      <c r="E100" s="19"/>
      <c r="F100" s="5"/>
      <c r="H100" s="19"/>
      <c r="Q100" s="5"/>
      <c r="R100" s="9"/>
    </row>
    <row r="101">
      <c r="A101" s="39">
        <v>45499.0</v>
      </c>
      <c r="B101" s="4" t="s">
        <v>140</v>
      </c>
      <c r="C101" s="21">
        <v>5.5</v>
      </c>
      <c r="E101" s="19"/>
      <c r="F101" s="5"/>
      <c r="H101" s="19"/>
      <c r="Q101" s="5"/>
      <c r="R101" s="9"/>
    </row>
    <row r="102">
      <c r="A102" s="39">
        <v>45499.0</v>
      </c>
      <c r="B102" s="4" t="s">
        <v>73</v>
      </c>
      <c r="C102" s="21">
        <v>11.63</v>
      </c>
      <c r="E102" s="19"/>
      <c r="F102" s="5"/>
      <c r="H102" s="19"/>
      <c r="Q102" s="5"/>
      <c r="R102" s="9"/>
    </row>
    <row r="103">
      <c r="A103" s="39">
        <v>45499.0</v>
      </c>
      <c r="B103" s="4" t="s">
        <v>47</v>
      </c>
      <c r="C103" s="21">
        <v>8.63</v>
      </c>
      <c r="E103" s="19"/>
      <c r="F103" s="5"/>
      <c r="H103" s="19"/>
      <c r="Q103" s="5"/>
      <c r="R103" s="9"/>
    </row>
    <row r="104">
      <c r="A104" s="39">
        <v>45499.0</v>
      </c>
      <c r="B104" s="4" t="s">
        <v>341</v>
      </c>
      <c r="C104" s="21">
        <v>4.99</v>
      </c>
      <c r="E104" s="19"/>
      <c r="F104" s="5"/>
      <c r="H104" s="19"/>
      <c r="Q104" s="5"/>
      <c r="R104" s="9"/>
    </row>
    <row r="105">
      <c r="A105" s="39">
        <v>45500.0</v>
      </c>
      <c r="B105" s="4" t="s">
        <v>209</v>
      </c>
      <c r="C105" s="21">
        <v>12.0</v>
      </c>
      <c r="E105" s="19"/>
      <c r="F105" s="5"/>
      <c r="H105" s="19"/>
      <c r="Q105" s="5"/>
      <c r="R105" s="9"/>
    </row>
    <row r="106">
      <c r="A106" s="39">
        <v>45500.0</v>
      </c>
      <c r="B106" s="4" t="s">
        <v>342</v>
      </c>
      <c r="C106" s="21">
        <v>13.49</v>
      </c>
      <c r="E106" s="19"/>
      <c r="F106" s="5"/>
      <c r="H106" s="19"/>
      <c r="Q106" s="5"/>
      <c r="R106" s="9"/>
    </row>
    <row r="107">
      <c r="A107" s="39">
        <v>45500.0</v>
      </c>
      <c r="B107" s="4" t="s">
        <v>343</v>
      </c>
      <c r="C107" s="21">
        <v>9.0</v>
      </c>
      <c r="E107" s="19"/>
      <c r="F107" s="5"/>
      <c r="H107" s="19"/>
      <c r="Q107" s="5"/>
      <c r="R107" s="9"/>
    </row>
    <row r="108">
      <c r="A108" s="39">
        <v>45500.0</v>
      </c>
      <c r="B108" s="4" t="s">
        <v>45</v>
      </c>
      <c r="C108" s="21">
        <v>5.0</v>
      </c>
      <c r="E108" s="19"/>
      <c r="F108" s="5"/>
      <c r="H108" s="19"/>
      <c r="Q108" s="5"/>
      <c r="R108" s="9"/>
    </row>
    <row r="109">
      <c r="A109" s="39">
        <v>45500.0</v>
      </c>
      <c r="B109" s="4" t="s">
        <v>210</v>
      </c>
      <c r="C109" s="21">
        <v>18.95</v>
      </c>
      <c r="E109" s="19"/>
      <c r="F109" s="5"/>
      <c r="H109" s="19"/>
      <c r="Q109" s="5"/>
      <c r="R109" s="9"/>
    </row>
    <row r="110">
      <c r="A110" s="39">
        <v>45500.0</v>
      </c>
      <c r="B110" s="4" t="s">
        <v>127</v>
      </c>
      <c r="C110" s="21">
        <v>2.8</v>
      </c>
      <c r="E110" s="19"/>
      <c r="F110" s="5"/>
      <c r="H110" s="19"/>
      <c r="Q110" s="5"/>
      <c r="R110" s="9"/>
    </row>
    <row r="111">
      <c r="A111" s="39">
        <v>45501.0</v>
      </c>
      <c r="B111" s="4" t="s">
        <v>73</v>
      </c>
      <c r="C111" s="21">
        <v>10.16</v>
      </c>
      <c r="E111" s="19"/>
      <c r="F111" s="5"/>
      <c r="H111" s="19"/>
      <c r="Q111" s="5"/>
      <c r="R111" s="9"/>
    </row>
    <row r="112">
      <c r="A112" s="39">
        <v>45502.0</v>
      </c>
      <c r="B112" s="4" t="s">
        <v>344</v>
      </c>
      <c r="C112" s="21">
        <v>3.33</v>
      </c>
      <c r="E112" s="19"/>
      <c r="F112" s="5"/>
      <c r="H112" s="19"/>
      <c r="Q112" s="5"/>
      <c r="R112" s="9"/>
    </row>
    <row r="113">
      <c r="A113" s="39">
        <v>45502.0</v>
      </c>
      <c r="B113" s="4" t="s">
        <v>47</v>
      </c>
      <c r="C113" s="21">
        <v>12.3</v>
      </c>
      <c r="E113" s="19"/>
      <c r="F113" s="5"/>
      <c r="H113" s="19"/>
      <c r="Q113" s="5"/>
      <c r="R113" s="9"/>
    </row>
    <row r="114">
      <c r="A114" s="39">
        <v>45502.0</v>
      </c>
      <c r="B114" s="4" t="s">
        <v>127</v>
      </c>
      <c r="C114" s="21">
        <v>2.8</v>
      </c>
      <c r="E114" s="19"/>
      <c r="F114" s="5"/>
      <c r="H114" s="19"/>
      <c r="Q114" s="5"/>
      <c r="R114" s="9"/>
    </row>
    <row r="115">
      <c r="A115" s="39">
        <v>45503.0</v>
      </c>
      <c r="B115" s="4" t="s">
        <v>53</v>
      </c>
      <c r="C115" s="21">
        <v>17.31</v>
      </c>
      <c r="E115" s="19"/>
      <c r="F115" s="5"/>
      <c r="H115" s="19"/>
      <c r="Q115" s="5"/>
      <c r="R115" s="9"/>
    </row>
    <row r="116">
      <c r="A116" s="39">
        <v>45504.0</v>
      </c>
      <c r="B116" s="4" t="s">
        <v>140</v>
      </c>
      <c r="C116" s="21">
        <v>11.95</v>
      </c>
      <c r="E116" s="19"/>
      <c r="F116" s="5"/>
      <c r="H116" s="19"/>
      <c r="Q116" s="5"/>
      <c r="R116" s="9"/>
    </row>
    <row r="117">
      <c r="A117" s="39">
        <v>45504.0</v>
      </c>
      <c r="B117" s="4" t="s">
        <v>76</v>
      </c>
      <c r="C117" s="21">
        <v>3.8</v>
      </c>
      <c r="E117" s="19"/>
      <c r="F117" s="5"/>
      <c r="H117" s="19"/>
      <c r="Q117" s="5"/>
      <c r="R117" s="9"/>
    </row>
    <row r="118">
      <c r="A118" s="39">
        <v>45504.0</v>
      </c>
      <c r="B118" s="4" t="s">
        <v>47</v>
      </c>
      <c r="C118" s="21">
        <v>7.49</v>
      </c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44"/>
      <c r="C999" s="5"/>
      <c r="E999" s="19"/>
      <c r="F999" s="5"/>
      <c r="H999" s="19"/>
      <c r="Q999" s="5"/>
      <c r="R999" s="9"/>
    </row>
    <row r="1000">
      <c r="A1000" s="39"/>
      <c r="C1000" s="5"/>
      <c r="E1000" s="19"/>
      <c r="F1000" s="5"/>
      <c r="H1000" s="19"/>
      <c r="Q1000" s="5"/>
      <c r="R1000" s="9"/>
    </row>
  </sheetData>
  <conditionalFormatting sqref="N1:N1000">
    <cfRule type="timePeriod" dxfId="4" priority="1" timePeriod="today"/>
  </conditionalFormatting>
  <conditionalFormatting sqref="N1:N1000">
    <cfRule type="timePeriod" dxfId="5" priority="2" timePeriod="today"/>
  </conditionalFormatting>
  <conditionalFormatting sqref="O1:O1000 Q1:Q1000">
    <cfRule type="cellIs" dxfId="0" priority="3" operator="lessThan">
      <formula>25</formula>
    </cfRule>
  </conditionalFormatting>
  <conditionalFormatting sqref="O1:O1000 Q1:Q1000">
    <cfRule type="cellIs" dxfId="6" priority="4" operator="lessThan">
      <formula>35</formula>
    </cfRule>
  </conditionalFormatting>
  <conditionalFormatting sqref="O1:O1000 Q1:Q1000">
    <cfRule type="cellIs" dxfId="1" priority="5" operator="greaterThanOrEqual">
      <formula>35</formula>
    </cfRule>
  </conditionalFormatting>
  <conditionalFormatting sqref="I1">
    <cfRule type="cellIs" dxfId="1" priority="6" operator="lessThan">
      <formula>0</formula>
    </cfRule>
  </conditionalFormatting>
  <conditionalFormatting sqref="I1">
    <cfRule type="cellIs" dxfId="0" priority="7" operator="greaterThan">
      <formula>0</formula>
    </cfRule>
  </conditionalFormatting>
  <conditionalFormatting sqref="F11">
    <cfRule type="cellIs" dxfId="3" priority="8" operator="greaterThan">
      <formula>0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223.26</v>
      </c>
      <c r="H1" s="1" t="s">
        <v>46</v>
      </c>
      <c r="I1" s="5">
        <f>I6-I7</f>
        <v>193.79</v>
      </c>
      <c r="J1" s="19"/>
      <c r="K1" s="1" t="s">
        <v>47</v>
      </c>
      <c r="L1" s="5">
        <f t="shared" ref="L1:L5" si="1">SUMIF(B:B,K1,C:I)</f>
        <v>137.22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7" t="s">
        <v>51</v>
      </c>
      <c r="S1" s="19"/>
      <c r="T1" s="19"/>
      <c r="U1" s="19"/>
      <c r="V1" s="19"/>
      <c r="W1" s="19"/>
      <c r="X1" s="19"/>
      <c r="Y1" s="19"/>
      <c r="Z1" s="19"/>
    </row>
    <row r="2">
      <c r="A2" s="39">
        <v>45444.0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56.4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19.31</v>
      </c>
      <c r="N2" s="39">
        <v>45444.0</v>
      </c>
      <c r="O2" s="5">
        <f>sumif(A:A,N2,C:C)-sum(C2:C5)</f>
        <v>13.49</v>
      </c>
      <c r="P2" s="5">
        <f>SUM(O2)</f>
        <v>13.49</v>
      </c>
      <c r="Q2" s="5">
        <f t="shared" ref="Q2:Q31" si="2">P2/(ROW()-1)</f>
        <v>13.49</v>
      </c>
      <c r="R2" s="9">
        <f t="shared" ref="R2:R31" si="3">count(N:N)*Q2</f>
        <v>404.7</v>
      </c>
    </row>
    <row r="3">
      <c r="A3" s="39">
        <v>45444.0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0</v>
      </c>
      <c r="H3" s="1" t="s">
        <v>8</v>
      </c>
      <c r="I3" s="5">
        <f>SUMIF(B:B,H3,C:C)+I1</f>
        <v>443.79</v>
      </c>
      <c r="K3" s="1" t="s">
        <v>56</v>
      </c>
      <c r="L3" s="5">
        <f t="shared" si="1"/>
        <v>0</v>
      </c>
      <c r="N3" s="39">
        <v>45445.0</v>
      </c>
      <c r="O3" s="40">
        <f t="shared" ref="O3:O31" si="4">sumif(A:A,N3,C:C)</f>
        <v>54.09</v>
      </c>
      <c r="P3" s="5">
        <f t="shared" ref="P3:P31" si="5">P2+O3</f>
        <v>67.58</v>
      </c>
      <c r="Q3" s="5">
        <f t="shared" si="2"/>
        <v>33.79</v>
      </c>
      <c r="R3" s="9">
        <f t="shared" si="3"/>
        <v>1013.7</v>
      </c>
    </row>
    <row r="4">
      <c r="A4" s="39">
        <v>45444.0</v>
      </c>
      <c r="B4" s="4" t="s">
        <v>6</v>
      </c>
      <c r="C4" s="21">
        <v>250.0</v>
      </c>
      <c r="E4" s="1" t="s">
        <v>140</v>
      </c>
      <c r="F4" s="5">
        <f t="shared" ref="F4:F5" si="6">SUMIF(B:B,E4,C:C)</f>
        <v>41.39</v>
      </c>
      <c r="H4" s="1" t="s">
        <v>58</v>
      </c>
      <c r="I4" s="5">
        <f>I2+I3</f>
        <v>693.79</v>
      </c>
      <c r="K4" s="1" t="s">
        <v>59</v>
      </c>
      <c r="L4" s="5">
        <f t="shared" si="1"/>
        <v>12.45</v>
      </c>
      <c r="N4" s="39">
        <v>45446.0</v>
      </c>
      <c r="O4" s="40">
        <f t="shared" si="4"/>
        <v>20.84</v>
      </c>
      <c r="P4" s="5">
        <f t="shared" si="5"/>
        <v>88.42</v>
      </c>
      <c r="Q4" s="5">
        <f t="shared" si="2"/>
        <v>29.47333333</v>
      </c>
      <c r="R4" s="9">
        <f t="shared" si="3"/>
        <v>884.2</v>
      </c>
    </row>
    <row r="5">
      <c r="A5" s="39">
        <v>45444.0</v>
      </c>
      <c r="B5" s="4" t="s">
        <v>252</v>
      </c>
      <c r="C5" s="21">
        <v>10.4</v>
      </c>
      <c r="E5" s="1" t="s">
        <v>210</v>
      </c>
      <c r="F5" s="5">
        <f t="shared" si="6"/>
        <v>18.15</v>
      </c>
      <c r="K5" s="1" t="s">
        <v>62</v>
      </c>
      <c r="L5" s="5">
        <f t="shared" si="1"/>
        <v>11.95</v>
      </c>
      <c r="N5" s="39">
        <v>45447.0</v>
      </c>
      <c r="O5" s="40">
        <f t="shared" si="4"/>
        <v>24.83</v>
      </c>
      <c r="P5" s="5">
        <f t="shared" si="5"/>
        <v>113.25</v>
      </c>
      <c r="Q5" s="5">
        <f t="shared" si="2"/>
        <v>28.3125</v>
      </c>
      <c r="R5" s="9">
        <f t="shared" si="3"/>
        <v>849.375</v>
      </c>
    </row>
    <row r="6">
      <c r="A6" s="39">
        <v>45444.0</v>
      </c>
      <c r="B6" s="4" t="s">
        <v>127</v>
      </c>
      <c r="C6" s="4">
        <v>8.4</v>
      </c>
      <c r="E6" s="1" t="s">
        <v>57</v>
      </c>
      <c r="F6" s="5">
        <f>sum(L:L)+sumif(B:B,"Groceries",C:C)</f>
        <v>205.8</v>
      </c>
      <c r="H6" s="1" t="s">
        <v>65</v>
      </c>
      <c r="I6" s="21">
        <v>2918.24</v>
      </c>
      <c r="N6" s="39">
        <v>45448.0</v>
      </c>
      <c r="O6" s="40">
        <f t="shared" si="4"/>
        <v>15.6</v>
      </c>
      <c r="P6" s="5">
        <f t="shared" si="5"/>
        <v>128.85</v>
      </c>
      <c r="Q6" s="5">
        <f t="shared" si="2"/>
        <v>25.77</v>
      </c>
      <c r="R6" s="9">
        <f t="shared" si="3"/>
        <v>773.1</v>
      </c>
    </row>
    <row r="7">
      <c r="A7" s="39">
        <v>45444.0</v>
      </c>
      <c r="B7" s="4" t="s">
        <v>230</v>
      </c>
      <c r="C7" s="21">
        <v>2.99</v>
      </c>
      <c r="E7" s="42" t="s">
        <v>61</v>
      </c>
      <c r="F7" s="5">
        <f>SUMIF(B:B,"Games",C:C)+SUMIF(B:B,"Spotify",C:C)+SUMIF(B:B,"Book",C:C)+SUMIF(B:B,"Audible",C:C)+SUMIF(B:B,"Cinema",C:C)+SUMIF(B:B,"Theatre",C:C)+SUMIF(B:B,"Streaming",C:C)</f>
        <v>37.76</v>
      </c>
      <c r="H7" s="1" t="s">
        <v>68</v>
      </c>
      <c r="I7" s="5">
        <f>sum(C:C)</f>
        <v>2724.45</v>
      </c>
      <c r="N7" s="39">
        <v>45449.0</v>
      </c>
      <c r="O7" s="40">
        <f t="shared" si="4"/>
        <v>30.61</v>
      </c>
      <c r="P7" s="5">
        <f t="shared" si="5"/>
        <v>159.46</v>
      </c>
      <c r="Q7" s="5">
        <f t="shared" si="2"/>
        <v>26.57666667</v>
      </c>
      <c r="R7" s="9">
        <f t="shared" si="3"/>
        <v>797.3</v>
      </c>
    </row>
    <row r="8">
      <c r="A8" s="39">
        <v>45444.0</v>
      </c>
      <c r="B8" s="4" t="s">
        <v>57</v>
      </c>
      <c r="C8" s="21">
        <v>2.1</v>
      </c>
      <c r="E8" s="1" t="s">
        <v>64</v>
      </c>
      <c r="F8" s="5">
        <f>SUMIF(B:B,E8,C:C)+SUMIF(B:B,"Shoes",C:C)</f>
        <v>25.97</v>
      </c>
      <c r="H8" s="1" t="s">
        <v>72</v>
      </c>
      <c r="I8" s="5">
        <f>sum(F:F)+I2+C2</f>
        <v>2473.65</v>
      </c>
      <c r="N8" s="39">
        <v>45450.0</v>
      </c>
      <c r="O8" s="40">
        <f t="shared" si="4"/>
        <v>73.43</v>
      </c>
      <c r="P8" s="5">
        <f t="shared" si="5"/>
        <v>232.89</v>
      </c>
      <c r="Q8" s="5">
        <f t="shared" si="2"/>
        <v>33.27</v>
      </c>
      <c r="R8" s="9">
        <f t="shared" si="3"/>
        <v>998.1</v>
      </c>
    </row>
    <row r="9">
      <c r="A9" s="39">
        <v>45445.0</v>
      </c>
      <c r="B9" s="4" t="s">
        <v>345</v>
      </c>
      <c r="C9" s="21">
        <v>25.0</v>
      </c>
      <c r="E9" s="1" t="s">
        <v>54</v>
      </c>
      <c r="F9" s="5">
        <f>SUMIF(B:B,E9,C:C)+SUMIF(B:B,"Phone",C:C)</f>
        <v>1115.4</v>
      </c>
      <c r="H9" s="1" t="s">
        <v>74</v>
      </c>
      <c r="I9" s="5">
        <f>I7-I8</f>
        <v>250.8</v>
      </c>
      <c r="N9" s="39">
        <v>45451.0</v>
      </c>
      <c r="O9" s="40">
        <f t="shared" si="4"/>
        <v>81.4</v>
      </c>
      <c r="P9" s="5">
        <f t="shared" si="5"/>
        <v>314.29</v>
      </c>
      <c r="Q9" s="5">
        <f t="shared" si="2"/>
        <v>39.28625</v>
      </c>
      <c r="R9" s="9">
        <f t="shared" si="3"/>
        <v>1178.5875</v>
      </c>
    </row>
    <row r="10">
      <c r="A10" s="39">
        <v>45445.0</v>
      </c>
      <c r="B10" s="4" t="s">
        <v>164</v>
      </c>
      <c r="C10" s="21">
        <v>15.99</v>
      </c>
      <c r="E10" s="1" t="s">
        <v>127</v>
      </c>
      <c r="F10" s="5">
        <f>SUMIF(B:B,E10,C:C)</f>
        <v>78.9</v>
      </c>
      <c r="N10" s="39">
        <v>45452.0</v>
      </c>
      <c r="O10" s="40">
        <f t="shared" si="4"/>
        <v>47.16</v>
      </c>
      <c r="P10" s="5">
        <f t="shared" si="5"/>
        <v>361.45</v>
      </c>
      <c r="Q10" s="5">
        <f t="shared" si="2"/>
        <v>40.16111111</v>
      </c>
      <c r="R10" s="9">
        <f t="shared" si="3"/>
        <v>1204.833333</v>
      </c>
    </row>
    <row r="11">
      <c r="A11" s="39">
        <v>45445.0</v>
      </c>
      <c r="B11" s="4" t="s">
        <v>45</v>
      </c>
      <c r="C11" s="21">
        <v>8.8</v>
      </c>
      <c r="E11" s="1" t="s">
        <v>164</v>
      </c>
      <c r="F11" s="48">
        <f>SUMIF(B:B,"Cigs",C:C) + SUMIF(B:B,"Snus",C:C)</f>
        <v>77.57</v>
      </c>
      <c r="H11" s="1" t="s">
        <v>3</v>
      </c>
      <c r="I11" s="28">
        <f>I4/I6</f>
        <v>0.237742612</v>
      </c>
      <c r="N11" s="39">
        <v>45453.0</v>
      </c>
      <c r="O11" s="40">
        <f t="shared" si="4"/>
        <v>41.79</v>
      </c>
      <c r="P11" s="5">
        <f t="shared" si="5"/>
        <v>403.24</v>
      </c>
      <c r="Q11" s="5">
        <f t="shared" si="2"/>
        <v>40.324</v>
      </c>
      <c r="R11" s="9">
        <f t="shared" si="3"/>
        <v>1209.72</v>
      </c>
    </row>
    <row r="12">
      <c r="A12" s="39">
        <v>45445.0</v>
      </c>
      <c r="B12" s="4" t="s">
        <v>119</v>
      </c>
      <c r="C12" s="21">
        <v>4.3</v>
      </c>
      <c r="E12" s="1" t="s">
        <v>73</v>
      </c>
      <c r="F12" s="5">
        <f>SUMIF(B:B,"Uber",C:C)</f>
        <v>36.46</v>
      </c>
      <c r="N12" s="39">
        <v>45454.0</v>
      </c>
      <c r="O12" s="40">
        <f t="shared" si="4"/>
        <v>19.31</v>
      </c>
      <c r="P12" s="5">
        <f t="shared" si="5"/>
        <v>422.55</v>
      </c>
      <c r="Q12" s="5">
        <f t="shared" si="2"/>
        <v>38.41363636</v>
      </c>
      <c r="R12" s="9">
        <f t="shared" si="3"/>
        <v>1152.409091</v>
      </c>
    </row>
    <row r="13">
      <c r="A13" s="39">
        <v>45446.0</v>
      </c>
      <c r="B13" s="4" t="s">
        <v>119</v>
      </c>
      <c r="C13" s="4">
        <v>4.99</v>
      </c>
      <c r="E13" s="1" t="s">
        <v>75</v>
      </c>
      <c r="F13" s="40">
        <f>SUMIF(B:B,"Gym",C:C)+SUMIF(B:B,"Climbing",C:C)</f>
        <v>44.99</v>
      </c>
      <c r="N13" s="39">
        <v>45455.0</v>
      </c>
      <c r="O13" s="40">
        <f t="shared" si="4"/>
        <v>35.2</v>
      </c>
      <c r="P13" s="5">
        <f t="shared" si="5"/>
        <v>457.75</v>
      </c>
      <c r="Q13" s="5">
        <f t="shared" si="2"/>
        <v>38.14583333</v>
      </c>
      <c r="R13" s="9">
        <f t="shared" si="3"/>
        <v>1144.375</v>
      </c>
    </row>
    <row r="14">
      <c r="A14" s="39">
        <v>45446.0</v>
      </c>
      <c r="B14" s="4" t="s">
        <v>76</v>
      </c>
      <c r="C14" s="21">
        <v>3.9</v>
      </c>
      <c r="E14" s="1" t="s">
        <v>76</v>
      </c>
      <c r="F14" s="5">
        <f>SUMIF(B:B,"Coffee",C:C)</f>
        <v>11.6</v>
      </c>
      <c r="H14" s="19"/>
      <c r="N14" s="39">
        <v>45456.0</v>
      </c>
      <c r="O14" s="40">
        <f t="shared" si="4"/>
        <v>3.15</v>
      </c>
      <c r="P14" s="5">
        <f t="shared" si="5"/>
        <v>460.9</v>
      </c>
      <c r="Q14" s="5">
        <f t="shared" si="2"/>
        <v>35.45384615</v>
      </c>
      <c r="R14" s="9">
        <f t="shared" si="3"/>
        <v>1063.615385</v>
      </c>
    </row>
    <row r="15">
      <c r="A15" s="39">
        <v>45446.0</v>
      </c>
      <c r="B15" s="4" t="s">
        <v>47</v>
      </c>
      <c r="C15" s="21">
        <v>6.35</v>
      </c>
      <c r="E15" s="1"/>
      <c r="H15" s="19"/>
      <c r="N15" s="39">
        <v>45457.0</v>
      </c>
      <c r="O15" s="40">
        <f t="shared" si="4"/>
        <v>71.2</v>
      </c>
      <c r="P15" s="5">
        <f t="shared" si="5"/>
        <v>532.1</v>
      </c>
      <c r="Q15" s="5">
        <f t="shared" si="2"/>
        <v>38.00714286</v>
      </c>
      <c r="R15" s="9">
        <f t="shared" si="3"/>
        <v>1140.214286</v>
      </c>
    </row>
    <row r="16">
      <c r="A16" s="39">
        <v>45446.0</v>
      </c>
      <c r="B16" s="4" t="s">
        <v>127</v>
      </c>
      <c r="C16" s="21">
        <v>5.6</v>
      </c>
      <c r="E16" s="1"/>
      <c r="H16" s="19"/>
      <c r="N16" s="39">
        <v>45458.0</v>
      </c>
      <c r="O16" s="40">
        <f t="shared" si="4"/>
        <v>75.84</v>
      </c>
      <c r="P16" s="5">
        <f t="shared" si="5"/>
        <v>607.94</v>
      </c>
      <c r="Q16" s="5">
        <f t="shared" si="2"/>
        <v>40.52933333</v>
      </c>
      <c r="R16" s="9">
        <f t="shared" si="3"/>
        <v>1215.88</v>
      </c>
    </row>
    <row r="17">
      <c r="A17" s="39">
        <v>45447.0</v>
      </c>
      <c r="B17" s="4" t="s">
        <v>47</v>
      </c>
      <c r="C17" s="21">
        <v>6.78</v>
      </c>
      <c r="H17" s="19"/>
      <c r="N17" s="39">
        <v>45459.0</v>
      </c>
      <c r="O17" s="40">
        <f t="shared" si="4"/>
        <v>36.65</v>
      </c>
      <c r="P17" s="5">
        <f t="shared" si="5"/>
        <v>644.59</v>
      </c>
      <c r="Q17" s="5">
        <f t="shared" si="2"/>
        <v>40.286875</v>
      </c>
      <c r="R17" s="9">
        <f t="shared" si="3"/>
        <v>1208.60625</v>
      </c>
    </row>
    <row r="18">
      <c r="A18" s="39">
        <v>45447.0</v>
      </c>
      <c r="B18" s="4" t="s">
        <v>52</v>
      </c>
      <c r="C18" s="21">
        <v>18.05</v>
      </c>
      <c r="H18" s="19"/>
      <c r="N18" s="39">
        <v>45460.0</v>
      </c>
      <c r="O18" s="40">
        <f t="shared" si="4"/>
        <v>0</v>
      </c>
      <c r="P18" s="5">
        <f t="shared" si="5"/>
        <v>644.59</v>
      </c>
      <c r="Q18" s="5">
        <f t="shared" si="2"/>
        <v>37.91705882</v>
      </c>
      <c r="R18" s="9">
        <f t="shared" si="3"/>
        <v>1137.511765</v>
      </c>
    </row>
    <row r="19">
      <c r="A19" s="39">
        <v>45448.0</v>
      </c>
      <c r="B19" s="4" t="s">
        <v>62</v>
      </c>
      <c r="C19" s="21">
        <v>4.6</v>
      </c>
      <c r="H19" s="19"/>
      <c r="N19" s="39">
        <v>45461.0</v>
      </c>
      <c r="O19" s="40">
        <f t="shared" si="4"/>
        <v>3.5</v>
      </c>
      <c r="P19" s="5">
        <f t="shared" si="5"/>
        <v>648.09</v>
      </c>
      <c r="Q19" s="5">
        <f t="shared" si="2"/>
        <v>36.005</v>
      </c>
      <c r="R19" s="9">
        <f t="shared" si="3"/>
        <v>1080.15</v>
      </c>
    </row>
    <row r="20">
      <c r="A20" s="39">
        <v>45448.0</v>
      </c>
      <c r="B20" s="4" t="s">
        <v>140</v>
      </c>
      <c r="C20" s="21">
        <v>11.0</v>
      </c>
      <c r="H20" s="19"/>
      <c r="N20" s="39">
        <v>45462.0</v>
      </c>
      <c r="O20" s="40">
        <f t="shared" si="4"/>
        <v>20.21</v>
      </c>
      <c r="P20" s="5">
        <f t="shared" si="5"/>
        <v>668.3</v>
      </c>
      <c r="Q20" s="5">
        <f t="shared" si="2"/>
        <v>35.17368421</v>
      </c>
      <c r="R20" s="9">
        <f t="shared" si="3"/>
        <v>1055.210526</v>
      </c>
    </row>
    <row r="21">
      <c r="A21" s="39">
        <v>45449.0</v>
      </c>
      <c r="B21" s="4" t="s">
        <v>47</v>
      </c>
      <c r="C21" s="21">
        <v>5.15</v>
      </c>
      <c r="E21" s="19"/>
      <c r="F21" s="5"/>
      <c r="H21" s="19"/>
      <c r="N21" s="39">
        <v>45463.0</v>
      </c>
      <c r="O21" s="40">
        <f t="shared" si="4"/>
        <v>40.65</v>
      </c>
      <c r="P21" s="5">
        <f t="shared" si="5"/>
        <v>708.95</v>
      </c>
      <c r="Q21" s="5">
        <f t="shared" si="2"/>
        <v>35.4475</v>
      </c>
      <c r="R21" s="9">
        <f t="shared" si="3"/>
        <v>1063.425</v>
      </c>
    </row>
    <row r="22">
      <c r="A22" s="39">
        <v>45449.0</v>
      </c>
      <c r="B22" s="4" t="s">
        <v>254</v>
      </c>
      <c r="C22" s="21">
        <v>11.99</v>
      </c>
      <c r="E22" s="19"/>
      <c r="F22" s="5"/>
      <c r="H22" s="19"/>
      <c r="N22" s="39">
        <v>45464.0</v>
      </c>
      <c r="O22" s="40">
        <f t="shared" si="4"/>
        <v>26.45</v>
      </c>
      <c r="P22" s="5">
        <f t="shared" si="5"/>
        <v>735.4</v>
      </c>
      <c r="Q22" s="5">
        <f t="shared" si="2"/>
        <v>35.01904762</v>
      </c>
      <c r="R22" s="9">
        <f t="shared" si="3"/>
        <v>1050.571429</v>
      </c>
    </row>
    <row r="23">
      <c r="A23" s="39">
        <v>45449.0</v>
      </c>
      <c r="B23" s="4" t="s">
        <v>47</v>
      </c>
      <c r="C23" s="21">
        <f>1.55+11.92</f>
        <v>13.47</v>
      </c>
      <c r="E23" s="19"/>
      <c r="F23" s="5"/>
      <c r="H23" s="19"/>
      <c r="N23" s="39">
        <v>45465.0</v>
      </c>
      <c r="O23" s="40">
        <f t="shared" si="4"/>
        <v>21.99</v>
      </c>
      <c r="P23" s="5">
        <f t="shared" si="5"/>
        <v>757.39</v>
      </c>
      <c r="Q23" s="5">
        <f t="shared" si="2"/>
        <v>34.42681818</v>
      </c>
      <c r="R23" s="9">
        <f t="shared" si="3"/>
        <v>1032.804545</v>
      </c>
    </row>
    <row r="24">
      <c r="A24" s="39">
        <v>45450.0</v>
      </c>
      <c r="B24" s="4" t="s">
        <v>143</v>
      </c>
      <c r="C24" s="4">
        <v>32.31</v>
      </c>
      <c r="E24" s="19"/>
      <c r="F24" s="5"/>
      <c r="H24" s="19"/>
      <c r="N24" s="39">
        <v>45466.0</v>
      </c>
      <c r="O24" s="40">
        <f t="shared" si="4"/>
        <v>27.66</v>
      </c>
      <c r="P24" s="5">
        <f t="shared" si="5"/>
        <v>785.05</v>
      </c>
      <c r="Q24" s="5">
        <f t="shared" si="2"/>
        <v>34.1326087</v>
      </c>
      <c r="R24" s="9">
        <f t="shared" si="3"/>
        <v>1023.978261</v>
      </c>
    </row>
    <row r="25">
      <c r="A25" s="39">
        <v>45450.0</v>
      </c>
      <c r="B25" s="4" t="s">
        <v>76</v>
      </c>
      <c r="C25" s="4">
        <v>3.8</v>
      </c>
      <c r="E25" s="19"/>
      <c r="F25" s="5"/>
      <c r="H25" s="19"/>
      <c r="N25" s="39">
        <v>45467.0</v>
      </c>
      <c r="O25" s="40">
        <f t="shared" si="4"/>
        <v>29.54</v>
      </c>
      <c r="P25" s="5">
        <f t="shared" si="5"/>
        <v>814.59</v>
      </c>
      <c r="Q25" s="5">
        <f t="shared" si="2"/>
        <v>33.94125</v>
      </c>
      <c r="R25" s="9">
        <f t="shared" si="3"/>
        <v>1018.2375</v>
      </c>
    </row>
    <row r="26">
      <c r="A26" s="39">
        <v>45450.0</v>
      </c>
      <c r="B26" s="4" t="s">
        <v>45</v>
      </c>
      <c r="C26" s="21">
        <v>13.25</v>
      </c>
      <c r="E26" s="19"/>
      <c r="F26" s="5"/>
      <c r="H26" s="19"/>
      <c r="N26" s="39">
        <v>45468.0</v>
      </c>
      <c r="O26" s="40">
        <f t="shared" si="4"/>
        <v>77.83</v>
      </c>
      <c r="P26" s="5">
        <f t="shared" si="5"/>
        <v>892.42</v>
      </c>
      <c r="Q26" s="5">
        <f t="shared" si="2"/>
        <v>35.6968</v>
      </c>
      <c r="R26" s="9">
        <f t="shared" si="3"/>
        <v>1070.904</v>
      </c>
    </row>
    <row r="27">
      <c r="A27" s="39">
        <v>45450.0</v>
      </c>
      <c r="B27" s="4" t="s">
        <v>45</v>
      </c>
      <c r="C27" s="21">
        <v>11.78</v>
      </c>
      <c r="E27" s="19"/>
      <c r="F27" s="5"/>
      <c r="H27" s="19"/>
      <c r="N27" s="39">
        <v>45469.0</v>
      </c>
      <c r="O27" s="40">
        <f t="shared" si="4"/>
        <v>56.92</v>
      </c>
      <c r="P27" s="5">
        <f t="shared" si="5"/>
        <v>949.34</v>
      </c>
      <c r="Q27" s="5">
        <f t="shared" si="2"/>
        <v>36.51307692</v>
      </c>
      <c r="R27" s="9">
        <f t="shared" si="3"/>
        <v>1095.392308</v>
      </c>
    </row>
    <row r="28">
      <c r="A28" s="39">
        <v>45450.0</v>
      </c>
      <c r="B28" s="4" t="s">
        <v>45</v>
      </c>
      <c r="C28" s="21">
        <v>10.0</v>
      </c>
      <c r="E28" s="19"/>
      <c r="F28" s="5"/>
      <c r="H28" s="19"/>
      <c r="N28" s="39">
        <v>45470.0</v>
      </c>
      <c r="O28" s="40">
        <f t="shared" si="4"/>
        <v>36.15</v>
      </c>
      <c r="P28" s="5">
        <f t="shared" si="5"/>
        <v>985.49</v>
      </c>
      <c r="Q28" s="5">
        <f t="shared" si="2"/>
        <v>36.49962963</v>
      </c>
      <c r="R28" s="9">
        <f t="shared" si="3"/>
        <v>1094.988889</v>
      </c>
    </row>
    <row r="29">
      <c r="A29" s="39">
        <v>45450.0</v>
      </c>
      <c r="B29" s="4" t="s">
        <v>52</v>
      </c>
      <c r="C29" s="21">
        <v>2.29</v>
      </c>
      <c r="E29" s="19"/>
      <c r="F29" s="5"/>
      <c r="H29" s="19"/>
      <c r="N29" s="39">
        <v>45471.0</v>
      </c>
      <c r="O29" s="40">
        <f t="shared" si="4"/>
        <v>6.8</v>
      </c>
      <c r="P29" s="5">
        <f t="shared" si="5"/>
        <v>992.29</v>
      </c>
      <c r="Q29" s="5">
        <f t="shared" si="2"/>
        <v>35.43892857</v>
      </c>
      <c r="R29" s="9">
        <f t="shared" si="3"/>
        <v>1063.167857</v>
      </c>
    </row>
    <row r="30">
      <c r="A30" s="39">
        <v>45451.0</v>
      </c>
      <c r="B30" s="4" t="s">
        <v>127</v>
      </c>
      <c r="C30" s="21">
        <v>10.0</v>
      </c>
      <c r="E30" s="19"/>
      <c r="F30" s="5"/>
      <c r="H30" s="19"/>
      <c r="N30" s="39">
        <v>45472.0</v>
      </c>
      <c r="O30" s="40">
        <f t="shared" si="4"/>
        <v>16.54</v>
      </c>
      <c r="P30" s="5">
        <f t="shared" si="5"/>
        <v>1008.83</v>
      </c>
      <c r="Q30" s="5">
        <f t="shared" si="2"/>
        <v>34.78724138</v>
      </c>
      <c r="R30" s="9">
        <f t="shared" si="3"/>
        <v>1043.617241</v>
      </c>
    </row>
    <row r="31">
      <c r="A31" s="39">
        <v>45451.0</v>
      </c>
      <c r="B31" s="4" t="s">
        <v>73</v>
      </c>
      <c r="C31" s="21">
        <v>12.9</v>
      </c>
      <c r="E31" s="19"/>
      <c r="F31" s="5"/>
      <c r="H31" s="19"/>
      <c r="N31" s="39">
        <v>45473.0</v>
      </c>
      <c r="O31" s="40">
        <f t="shared" si="4"/>
        <v>100.22</v>
      </c>
      <c r="P31" s="5">
        <f t="shared" si="5"/>
        <v>1109.05</v>
      </c>
      <c r="Q31" s="5">
        <f t="shared" si="2"/>
        <v>36.96833333</v>
      </c>
      <c r="R31" s="9">
        <f t="shared" si="3"/>
        <v>1109.05</v>
      </c>
    </row>
    <row r="32">
      <c r="A32" s="39">
        <v>45451.0</v>
      </c>
      <c r="B32" s="4" t="s">
        <v>164</v>
      </c>
      <c r="C32" s="21">
        <v>26.0</v>
      </c>
      <c r="E32" s="19"/>
      <c r="F32" s="5"/>
      <c r="H32" s="19"/>
      <c r="N32" s="39"/>
      <c r="Q32" s="5"/>
      <c r="R32" s="9"/>
    </row>
    <row r="33">
      <c r="A33" s="39">
        <v>45451.0</v>
      </c>
      <c r="B33" s="4" t="s">
        <v>47</v>
      </c>
      <c r="C33" s="4">
        <f>32.12-26</f>
        <v>6.12</v>
      </c>
      <c r="E33" s="19"/>
      <c r="F33" s="5"/>
      <c r="H33" s="19"/>
      <c r="N33" s="39"/>
      <c r="Q33" s="5"/>
      <c r="R33" s="9"/>
    </row>
    <row r="34">
      <c r="A34" s="39">
        <v>45451.0</v>
      </c>
      <c r="B34" s="4" t="s">
        <v>45</v>
      </c>
      <c r="C34" s="21">
        <v>12.84</v>
      </c>
      <c r="E34" s="19"/>
      <c r="F34" s="5"/>
      <c r="H34" s="19"/>
      <c r="Q34" s="5"/>
      <c r="R34" s="9"/>
    </row>
    <row r="35">
      <c r="A35" s="39">
        <v>45451.0</v>
      </c>
      <c r="B35" s="4" t="s">
        <v>45</v>
      </c>
      <c r="C35" s="21">
        <v>6.64</v>
      </c>
      <c r="E35" s="19"/>
      <c r="F35" s="5"/>
      <c r="H35" s="19"/>
      <c r="Q35" s="5"/>
      <c r="R35" s="9"/>
    </row>
    <row r="36">
      <c r="A36" s="39">
        <v>45451.0</v>
      </c>
      <c r="B36" s="4" t="s">
        <v>45</v>
      </c>
      <c r="C36" s="21">
        <v>6.9</v>
      </c>
      <c r="E36" s="19"/>
      <c r="F36" s="5"/>
      <c r="H36" s="19"/>
      <c r="Q36" s="5"/>
      <c r="R36" s="9"/>
    </row>
    <row r="37">
      <c r="A37" s="39">
        <v>45452.0</v>
      </c>
      <c r="B37" s="4" t="s">
        <v>57</v>
      </c>
      <c r="C37" s="21">
        <v>10.8</v>
      </c>
      <c r="E37" s="19"/>
      <c r="F37" s="5"/>
      <c r="H37" s="19"/>
      <c r="Q37" s="5"/>
      <c r="R37" s="9"/>
    </row>
    <row r="38">
      <c r="A38" s="39">
        <v>45452.0</v>
      </c>
      <c r="B38" s="4" t="s">
        <v>45</v>
      </c>
      <c r="C38" s="21">
        <v>7.3</v>
      </c>
      <c r="E38" s="19"/>
      <c r="F38" s="5"/>
      <c r="H38" s="19"/>
      <c r="Q38" s="5"/>
      <c r="R38" s="9"/>
    </row>
    <row r="39">
      <c r="A39" s="39">
        <v>45452.0</v>
      </c>
      <c r="B39" s="4" t="s">
        <v>52</v>
      </c>
      <c r="C39" s="21">
        <v>8.67</v>
      </c>
      <c r="E39" s="19"/>
      <c r="F39" s="5"/>
      <c r="H39" s="19"/>
      <c r="Q39" s="5"/>
      <c r="R39" s="9"/>
    </row>
    <row r="40">
      <c r="A40" s="39">
        <v>45452.0</v>
      </c>
      <c r="B40" s="4" t="s">
        <v>52</v>
      </c>
      <c r="C40" s="21">
        <v>7.69</v>
      </c>
      <c r="E40" s="19"/>
      <c r="F40" s="5"/>
      <c r="H40" s="19"/>
      <c r="Q40" s="5"/>
      <c r="R40" s="9"/>
    </row>
    <row r="41">
      <c r="A41" s="39">
        <v>45452.0</v>
      </c>
      <c r="B41" s="4" t="s">
        <v>45</v>
      </c>
      <c r="C41" s="21">
        <v>4.3</v>
      </c>
      <c r="E41" s="19"/>
      <c r="F41" s="5"/>
      <c r="H41" s="19"/>
      <c r="Q41" s="5"/>
      <c r="R41" s="9"/>
    </row>
    <row r="42">
      <c r="A42" s="39">
        <v>45452.0</v>
      </c>
      <c r="B42" s="4" t="s">
        <v>47</v>
      </c>
      <c r="C42" s="21">
        <v>8.4</v>
      </c>
      <c r="E42" s="19"/>
      <c r="F42" s="5"/>
      <c r="H42" s="19"/>
      <c r="Q42" s="5"/>
      <c r="R42" s="9"/>
    </row>
    <row r="43">
      <c r="A43" s="39">
        <v>45453.0</v>
      </c>
      <c r="B43" s="4" t="s">
        <v>127</v>
      </c>
      <c r="C43" s="21">
        <v>8.5</v>
      </c>
      <c r="E43" s="19"/>
      <c r="F43" s="5"/>
      <c r="H43" s="19"/>
      <c r="Q43" s="5"/>
      <c r="R43" s="9"/>
    </row>
    <row r="44">
      <c r="A44" s="39">
        <v>45453.0</v>
      </c>
      <c r="B44" s="4" t="s">
        <v>127</v>
      </c>
      <c r="C44" s="21">
        <v>8.5</v>
      </c>
      <c r="E44" s="19"/>
      <c r="F44" s="5"/>
      <c r="H44" s="19"/>
      <c r="Q44" s="5"/>
      <c r="R44" s="9"/>
    </row>
    <row r="45">
      <c r="A45" s="39">
        <v>45453.0</v>
      </c>
      <c r="B45" s="4" t="s">
        <v>47</v>
      </c>
      <c r="C45" s="21">
        <v>14.3</v>
      </c>
      <c r="E45" s="19"/>
      <c r="F45" s="5"/>
      <c r="H45" s="19"/>
      <c r="Q45" s="5"/>
      <c r="R45" s="9"/>
    </row>
    <row r="46">
      <c r="A46" s="39">
        <v>45453.0</v>
      </c>
      <c r="B46" s="4" t="s">
        <v>324</v>
      </c>
      <c r="C46" s="21">
        <v>6.99</v>
      </c>
      <c r="E46" s="19"/>
      <c r="F46" s="5"/>
      <c r="H46" s="19"/>
      <c r="Q46" s="5"/>
      <c r="R46" s="9"/>
    </row>
    <row r="47">
      <c r="A47" s="39">
        <v>45453.0</v>
      </c>
      <c r="B47" s="4" t="s">
        <v>119</v>
      </c>
      <c r="C47" s="21">
        <v>3.5</v>
      </c>
      <c r="E47" s="19"/>
      <c r="F47" s="5"/>
      <c r="H47" s="19"/>
      <c r="Q47" s="5"/>
      <c r="R47" s="9"/>
    </row>
    <row r="48">
      <c r="A48" s="39">
        <v>45454.0</v>
      </c>
      <c r="B48" s="4" t="s">
        <v>53</v>
      </c>
      <c r="C48" s="21">
        <v>19.31</v>
      </c>
      <c r="E48" s="19"/>
      <c r="F48" s="5"/>
      <c r="H48" s="19"/>
      <c r="Q48" s="5"/>
      <c r="R48" s="9"/>
    </row>
    <row r="49">
      <c r="A49" s="39">
        <v>45455.0</v>
      </c>
      <c r="B49" s="4" t="s">
        <v>346</v>
      </c>
      <c r="C49" s="21">
        <v>5.0</v>
      </c>
      <c r="E49" s="19"/>
      <c r="F49" s="5"/>
      <c r="H49" s="19"/>
      <c r="Q49" s="5"/>
      <c r="R49" s="9"/>
    </row>
    <row r="50">
      <c r="A50" s="39">
        <v>45455.0</v>
      </c>
      <c r="B50" s="4" t="s">
        <v>59</v>
      </c>
      <c r="C50" s="21">
        <v>9.45</v>
      </c>
      <c r="E50" s="19"/>
      <c r="F50" s="5"/>
      <c r="H50" s="19"/>
      <c r="Q50" s="5"/>
      <c r="R50" s="9"/>
    </row>
    <row r="51">
      <c r="A51" s="39">
        <v>45455.0</v>
      </c>
      <c r="B51" s="4" t="s">
        <v>47</v>
      </c>
      <c r="C51" s="21">
        <v>2.6</v>
      </c>
      <c r="E51" s="19"/>
      <c r="F51" s="5"/>
      <c r="H51" s="19"/>
      <c r="Q51" s="5"/>
      <c r="R51" s="9"/>
    </row>
    <row r="52">
      <c r="A52" s="39">
        <v>45455.0</v>
      </c>
      <c r="B52" s="4" t="s">
        <v>210</v>
      </c>
      <c r="C52" s="21">
        <v>18.15</v>
      </c>
      <c r="E52" s="19"/>
      <c r="F52" s="5"/>
      <c r="H52" s="19"/>
      <c r="Q52" s="5"/>
      <c r="R52" s="9"/>
    </row>
    <row r="53">
      <c r="A53" s="39">
        <v>45456.0</v>
      </c>
      <c r="B53" s="4" t="s">
        <v>47</v>
      </c>
      <c r="C53" s="21">
        <v>3.15</v>
      </c>
      <c r="E53" s="19"/>
      <c r="F53" s="5"/>
      <c r="H53" s="19"/>
      <c r="Q53" s="5"/>
      <c r="R53" s="9"/>
    </row>
    <row r="54">
      <c r="A54" s="39">
        <v>45457.0</v>
      </c>
      <c r="B54" s="4" t="s">
        <v>45</v>
      </c>
      <c r="C54" s="21">
        <v>10.0</v>
      </c>
      <c r="E54" s="19"/>
      <c r="F54" s="5"/>
      <c r="H54" s="19"/>
      <c r="Q54" s="5"/>
      <c r="R54" s="9"/>
    </row>
    <row r="55">
      <c r="A55" s="39">
        <v>45457.0</v>
      </c>
      <c r="B55" s="4" t="s">
        <v>154</v>
      </c>
      <c r="C55" s="21">
        <v>47.4</v>
      </c>
      <c r="E55" s="19"/>
      <c r="F55" s="5"/>
      <c r="H55" s="19"/>
      <c r="Q55" s="5"/>
      <c r="R55" s="9"/>
    </row>
    <row r="56">
      <c r="A56" s="39">
        <v>45457.0</v>
      </c>
      <c r="B56" s="4" t="s">
        <v>45</v>
      </c>
      <c r="C56" s="21">
        <v>13.8</v>
      </c>
      <c r="E56" s="19"/>
      <c r="F56" s="5"/>
      <c r="H56" s="19"/>
      <c r="Q56" s="5"/>
      <c r="R56" s="9"/>
    </row>
    <row r="57">
      <c r="A57" s="39">
        <v>45458.0</v>
      </c>
      <c r="B57" s="4" t="s">
        <v>143</v>
      </c>
      <c r="C57" s="21">
        <v>3.0</v>
      </c>
      <c r="E57" s="19"/>
      <c r="F57" s="5"/>
      <c r="H57" s="19"/>
      <c r="Q57" s="5"/>
      <c r="R57" s="9"/>
    </row>
    <row r="58">
      <c r="A58" s="39">
        <v>45458.0</v>
      </c>
      <c r="B58" s="4" t="s">
        <v>73</v>
      </c>
      <c r="C58" s="43">
        <v>11.92</v>
      </c>
      <c r="E58" s="19"/>
      <c r="F58" s="5"/>
      <c r="H58" s="19"/>
      <c r="Q58" s="5"/>
      <c r="R58" s="9"/>
    </row>
    <row r="59">
      <c r="A59" s="39">
        <v>45458.0</v>
      </c>
      <c r="B59" s="4" t="s">
        <v>347</v>
      </c>
      <c r="C59" s="21">
        <v>10.0</v>
      </c>
      <c r="E59" s="19"/>
      <c r="F59" s="5"/>
      <c r="H59" s="19"/>
      <c r="Q59" s="5"/>
      <c r="R59" s="9"/>
    </row>
    <row r="60">
      <c r="A60" s="39">
        <v>45458.0</v>
      </c>
      <c r="B60" s="4" t="s">
        <v>348</v>
      </c>
      <c r="C60" s="21">
        <v>40.13</v>
      </c>
      <c r="E60" s="19"/>
      <c r="F60" s="5"/>
      <c r="H60" s="19"/>
      <c r="Q60" s="5"/>
      <c r="R60" s="9"/>
    </row>
    <row r="61">
      <c r="A61" s="39">
        <v>45458.0</v>
      </c>
      <c r="B61" s="4" t="s">
        <v>127</v>
      </c>
      <c r="C61" s="21">
        <v>1.8</v>
      </c>
      <c r="E61" s="19"/>
      <c r="F61" s="5"/>
      <c r="H61" s="19"/>
      <c r="Q61" s="5"/>
      <c r="R61" s="9"/>
    </row>
    <row r="62">
      <c r="A62" s="39">
        <v>45458.0</v>
      </c>
      <c r="B62" s="4" t="s">
        <v>349</v>
      </c>
      <c r="C62" s="21">
        <v>8.99</v>
      </c>
      <c r="E62" s="19"/>
      <c r="F62" s="5"/>
      <c r="H62" s="19"/>
      <c r="Q62" s="5"/>
      <c r="R62" s="9"/>
    </row>
    <row r="63">
      <c r="A63" s="39">
        <v>45459.0</v>
      </c>
      <c r="B63" s="4" t="s">
        <v>348</v>
      </c>
      <c r="C63" s="21">
        <v>33.0</v>
      </c>
      <c r="E63" s="19"/>
      <c r="F63" s="5"/>
      <c r="H63" s="19"/>
      <c r="Q63" s="5"/>
      <c r="R63" s="9"/>
    </row>
    <row r="64">
      <c r="A64" s="39">
        <v>45459.0</v>
      </c>
      <c r="B64" s="4" t="s">
        <v>127</v>
      </c>
      <c r="C64" s="21">
        <v>3.65</v>
      </c>
      <c r="E64" s="19"/>
      <c r="F64" s="5"/>
      <c r="H64" s="19"/>
      <c r="Q64" s="5"/>
      <c r="R64" s="9"/>
    </row>
    <row r="65">
      <c r="A65" s="39">
        <v>45461.0</v>
      </c>
      <c r="B65" s="4" t="s">
        <v>47</v>
      </c>
      <c r="C65" s="4">
        <v>3.5</v>
      </c>
      <c r="E65" s="19"/>
      <c r="F65" s="5"/>
      <c r="H65" s="19"/>
      <c r="Q65" s="5"/>
      <c r="R65" s="9"/>
    </row>
    <row r="66">
      <c r="A66" s="39">
        <v>45462.0</v>
      </c>
      <c r="B66" s="4" t="s">
        <v>127</v>
      </c>
      <c r="C66" s="21">
        <v>4.0</v>
      </c>
      <c r="E66" s="19"/>
      <c r="F66" s="5"/>
      <c r="H66" s="19"/>
      <c r="Q66" s="5"/>
      <c r="R66" s="9"/>
    </row>
    <row r="67">
      <c r="A67" s="39">
        <v>45462.0</v>
      </c>
      <c r="B67" s="4" t="s">
        <v>52</v>
      </c>
      <c r="C67" s="21">
        <v>16.21</v>
      </c>
      <c r="E67" s="19"/>
      <c r="F67" s="5"/>
      <c r="H67" s="19"/>
      <c r="Q67" s="5"/>
      <c r="R67" s="9"/>
    </row>
    <row r="68">
      <c r="A68" s="39">
        <v>45463.0</v>
      </c>
      <c r="B68" s="4" t="s">
        <v>47</v>
      </c>
      <c r="C68" s="21">
        <v>12.75</v>
      </c>
      <c r="E68" s="19"/>
      <c r="F68" s="5"/>
      <c r="H68" s="19"/>
      <c r="Q68" s="5"/>
      <c r="R68" s="9"/>
    </row>
    <row r="69">
      <c r="A69" s="39">
        <v>45463.0</v>
      </c>
      <c r="B69" s="4" t="s">
        <v>45</v>
      </c>
      <c r="C69" s="21">
        <v>10.4</v>
      </c>
      <c r="E69" s="19"/>
      <c r="F69" s="5"/>
      <c r="H69" s="19"/>
      <c r="Q69" s="5"/>
      <c r="R69" s="9"/>
    </row>
    <row r="70">
      <c r="A70" s="39">
        <v>45463.0</v>
      </c>
      <c r="B70" s="4" t="s">
        <v>164</v>
      </c>
      <c r="C70" s="21">
        <v>7.0</v>
      </c>
      <c r="E70" s="19"/>
      <c r="F70" s="5"/>
      <c r="H70" s="19"/>
      <c r="Q70" s="5"/>
      <c r="R70" s="9"/>
    </row>
    <row r="71">
      <c r="A71" s="39">
        <v>45463.0</v>
      </c>
      <c r="B71" s="4" t="s">
        <v>45</v>
      </c>
      <c r="C71" s="21">
        <v>10.5</v>
      </c>
      <c r="E71" s="19"/>
      <c r="F71" s="5"/>
      <c r="H71" s="19"/>
      <c r="Q71" s="5"/>
      <c r="R71" s="9"/>
    </row>
    <row r="72">
      <c r="A72" s="39">
        <v>45464.0</v>
      </c>
      <c r="B72" s="4" t="s">
        <v>62</v>
      </c>
      <c r="C72" s="21">
        <f>2.5+3.85</f>
        <v>6.35</v>
      </c>
      <c r="E72" s="19"/>
      <c r="F72" s="5"/>
      <c r="H72" s="19"/>
      <c r="Q72" s="5"/>
      <c r="R72" s="9"/>
    </row>
    <row r="73">
      <c r="A73" s="39">
        <v>45464.0</v>
      </c>
      <c r="B73" s="4" t="s">
        <v>140</v>
      </c>
      <c r="C73" s="21">
        <v>9.6</v>
      </c>
      <c r="E73" s="19"/>
      <c r="F73" s="5"/>
      <c r="H73" s="19"/>
      <c r="Q73" s="5"/>
      <c r="R73" s="9"/>
    </row>
    <row r="74">
      <c r="A74" s="39">
        <v>45464.0</v>
      </c>
      <c r="B74" s="4" t="s">
        <v>47</v>
      </c>
      <c r="C74" s="21">
        <v>10.5</v>
      </c>
      <c r="E74" s="19"/>
      <c r="F74" s="5"/>
      <c r="H74" s="19"/>
      <c r="Q74" s="5"/>
      <c r="R74" s="9"/>
    </row>
    <row r="75">
      <c r="A75" s="39">
        <v>45465.0</v>
      </c>
      <c r="B75" s="4" t="s">
        <v>127</v>
      </c>
      <c r="C75" s="21">
        <v>6.8</v>
      </c>
      <c r="E75" s="19"/>
      <c r="F75" s="5"/>
      <c r="H75" s="19"/>
      <c r="Q75" s="5"/>
      <c r="R75" s="9"/>
    </row>
    <row r="76">
      <c r="A76" s="39">
        <v>45465.0</v>
      </c>
      <c r="B76" s="4" t="s">
        <v>119</v>
      </c>
      <c r="C76" s="21">
        <v>3.0</v>
      </c>
      <c r="E76" s="19"/>
      <c r="F76" s="5"/>
      <c r="H76" s="19"/>
      <c r="Q76" s="5"/>
      <c r="R76" s="9"/>
    </row>
    <row r="77">
      <c r="A77" s="39">
        <v>45465.0</v>
      </c>
      <c r="B77" s="4" t="s">
        <v>76</v>
      </c>
      <c r="C77" s="21">
        <v>3.9</v>
      </c>
      <c r="E77" s="19"/>
      <c r="F77" s="5"/>
      <c r="H77" s="19"/>
      <c r="Q77" s="5"/>
      <c r="R77" s="9"/>
    </row>
    <row r="78">
      <c r="A78" s="39">
        <v>45465.0</v>
      </c>
      <c r="B78" s="4" t="s">
        <v>47</v>
      </c>
      <c r="C78" s="21">
        <v>8.29</v>
      </c>
      <c r="E78" s="19"/>
      <c r="F78" s="5"/>
      <c r="H78" s="19"/>
      <c r="Q78" s="5"/>
      <c r="R78" s="9"/>
    </row>
    <row r="79">
      <c r="A79" s="39">
        <v>45466.0</v>
      </c>
      <c r="B79" s="4" t="s">
        <v>57</v>
      </c>
      <c r="C79" s="21">
        <v>7.99</v>
      </c>
      <c r="E79" s="19"/>
      <c r="F79" s="5"/>
      <c r="H79" s="19"/>
      <c r="Q79" s="5"/>
      <c r="R79" s="9"/>
    </row>
    <row r="80">
      <c r="A80" s="39">
        <v>45466.0</v>
      </c>
      <c r="B80" s="4" t="s">
        <v>57</v>
      </c>
      <c r="C80" s="4">
        <v>3.98</v>
      </c>
      <c r="E80" s="19"/>
      <c r="F80" s="5"/>
      <c r="H80" s="19"/>
      <c r="Q80" s="5"/>
      <c r="R80" s="9"/>
    </row>
    <row r="81">
      <c r="A81" s="39">
        <v>45466.0</v>
      </c>
      <c r="B81" s="4" t="s">
        <v>337</v>
      </c>
      <c r="C81" s="21">
        <v>6.99</v>
      </c>
      <c r="E81" s="19"/>
      <c r="F81" s="5"/>
      <c r="H81" s="19"/>
      <c r="Q81" s="5"/>
      <c r="R81" s="9"/>
    </row>
    <row r="82">
      <c r="A82" s="39">
        <v>45466.0</v>
      </c>
      <c r="B82" s="4" t="s">
        <v>45</v>
      </c>
      <c r="C82" s="21">
        <v>8.7</v>
      </c>
      <c r="E82" s="19"/>
      <c r="F82" s="5"/>
      <c r="H82" s="19"/>
      <c r="Q82" s="5"/>
      <c r="R82" s="9"/>
    </row>
    <row r="83">
      <c r="A83" s="39">
        <v>45467.0</v>
      </c>
      <c r="B83" s="4" t="s">
        <v>127</v>
      </c>
      <c r="C83" s="21">
        <v>1.75</v>
      </c>
      <c r="E83" s="19"/>
      <c r="F83" s="5"/>
      <c r="H83" s="19"/>
      <c r="Q83" s="5"/>
      <c r="R83" s="9"/>
    </row>
    <row r="84">
      <c r="A84" s="39">
        <v>45467.0</v>
      </c>
      <c r="B84" s="4" t="s">
        <v>45</v>
      </c>
      <c r="C84" s="21">
        <v>14.2</v>
      </c>
      <c r="E84" s="19"/>
      <c r="F84" s="5"/>
      <c r="H84" s="19"/>
      <c r="Q84" s="5"/>
      <c r="R84" s="9"/>
    </row>
    <row r="85">
      <c r="A85" s="39">
        <v>45467.0</v>
      </c>
      <c r="B85" s="4" t="s">
        <v>164</v>
      </c>
      <c r="C85" s="21">
        <v>13.59</v>
      </c>
      <c r="E85" s="19"/>
      <c r="F85" s="5"/>
      <c r="H85" s="19"/>
      <c r="Q85" s="5"/>
      <c r="R85" s="9"/>
    </row>
    <row r="86">
      <c r="A86" s="39">
        <v>45468.0</v>
      </c>
      <c r="B86" s="4" t="s">
        <v>140</v>
      </c>
      <c r="C86" s="21">
        <v>8.79</v>
      </c>
      <c r="E86" s="19"/>
      <c r="F86" s="5"/>
      <c r="H86" s="19"/>
      <c r="Q86" s="5"/>
      <c r="R86" s="9"/>
    </row>
    <row r="87">
      <c r="A87" s="39">
        <v>45468.0</v>
      </c>
      <c r="B87" s="4" t="s">
        <v>47</v>
      </c>
      <c r="C87" s="21">
        <v>3.5</v>
      </c>
      <c r="E87" s="19"/>
      <c r="F87" s="5"/>
      <c r="H87" s="19"/>
      <c r="Q87" s="5"/>
      <c r="R87" s="9"/>
    </row>
    <row r="88">
      <c r="A88" s="39">
        <v>45468.0</v>
      </c>
      <c r="B88" s="4" t="s">
        <v>45</v>
      </c>
      <c r="C88" s="21">
        <v>20.55</v>
      </c>
      <c r="E88" s="19"/>
      <c r="F88" s="5"/>
      <c r="H88" s="19"/>
      <c r="Q88" s="5"/>
      <c r="R88" s="9"/>
    </row>
    <row r="89">
      <c r="A89" s="39">
        <v>45468.0</v>
      </c>
      <c r="B89" s="4" t="s">
        <v>253</v>
      </c>
      <c r="C89" s="4">
        <v>44.99</v>
      </c>
      <c r="E89" s="19"/>
      <c r="F89" s="5"/>
      <c r="H89" s="19"/>
      <c r="Q89" s="5"/>
      <c r="R89" s="9"/>
    </row>
    <row r="90">
      <c r="A90" s="39">
        <v>45469.0</v>
      </c>
      <c r="B90" s="4" t="s">
        <v>64</v>
      </c>
      <c r="C90" s="21">
        <v>25.97</v>
      </c>
      <c r="E90" s="19"/>
      <c r="F90" s="5"/>
      <c r="H90" s="19"/>
      <c r="Q90" s="5"/>
      <c r="R90" s="9"/>
    </row>
    <row r="91">
      <c r="A91" s="39">
        <v>45469.0</v>
      </c>
      <c r="B91" s="4" t="s">
        <v>47</v>
      </c>
      <c r="C91" s="21">
        <f>12.41+1.25</f>
        <v>13.66</v>
      </c>
      <c r="E91" s="19"/>
      <c r="F91" s="5"/>
      <c r="H91" s="19"/>
      <c r="Q91" s="5"/>
      <c r="R91" s="9"/>
    </row>
    <row r="92">
      <c r="A92" s="39">
        <v>45469.0</v>
      </c>
      <c r="B92" s="4" t="s">
        <v>52</v>
      </c>
      <c r="C92" s="21">
        <v>3.49</v>
      </c>
      <c r="E92" s="19"/>
      <c r="F92" s="5"/>
      <c r="H92" s="19"/>
      <c r="Q92" s="5"/>
      <c r="R92" s="9"/>
    </row>
    <row r="93">
      <c r="A93" s="39">
        <v>45469.0</v>
      </c>
      <c r="B93" s="4" t="s">
        <v>45</v>
      </c>
      <c r="C93" s="21">
        <v>13.8</v>
      </c>
      <c r="E93" s="19"/>
      <c r="F93" s="5"/>
      <c r="H93" s="19"/>
      <c r="Q93" s="5"/>
      <c r="R93" s="9"/>
    </row>
    <row r="94">
      <c r="A94" s="39">
        <v>45470.0</v>
      </c>
      <c r="B94" s="4" t="s">
        <v>140</v>
      </c>
      <c r="C94" s="21">
        <v>12.0</v>
      </c>
      <c r="E94" s="19"/>
      <c r="F94" s="5"/>
      <c r="H94" s="19"/>
      <c r="Q94" s="5"/>
      <c r="R94" s="9"/>
    </row>
    <row r="95">
      <c r="A95" s="39">
        <v>45470.0</v>
      </c>
      <c r="B95" s="4" t="s">
        <v>62</v>
      </c>
      <c r="C95" s="21">
        <v>1.0</v>
      </c>
      <c r="E95" s="19"/>
      <c r="F95" s="5"/>
      <c r="H95" s="19"/>
      <c r="Q95" s="5"/>
      <c r="R95" s="9"/>
    </row>
    <row r="96">
      <c r="A96" s="39">
        <v>45470.0</v>
      </c>
      <c r="B96" s="4" t="s">
        <v>127</v>
      </c>
      <c r="C96" s="21">
        <v>5.6</v>
      </c>
      <c r="E96" s="19"/>
      <c r="F96" s="5"/>
      <c r="H96" s="19"/>
      <c r="Q96" s="5"/>
      <c r="R96" s="9"/>
    </row>
    <row r="97">
      <c r="A97" s="39">
        <v>45470.0</v>
      </c>
      <c r="B97" s="4" t="s">
        <v>127</v>
      </c>
      <c r="C97" s="21">
        <v>5.6</v>
      </c>
      <c r="E97" s="19"/>
      <c r="F97" s="5"/>
      <c r="H97" s="19"/>
      <c r="Q97" s="5"/>
      <c r="R97" s="9"/>
    </row>
    <row r="98">
      <c r="A98" s="39">
        <v>45470.0</v>
      </c>
      <c r="B98" s="4" t="s">
        <v>47</v>
      </c>
      <c r="C98" s="21">
        <v>11.95</v>
      </c>
      <c r="E98" s="19"/>
      <c r="F98" s="5"/>
      <c r="H98" s="19"/>
      <c r="Q98" s="5"/>
      <c r="R98" s="9"/>
    </row>
    <row r="99">
      <c r="A99" s="39">
        <v>45471.0</v>
      </c>
      <c r="B99" s="4" t="s">
        <v>127</v>
      </c>
      <c r="C99" s="21">
        <v>6.8</v>
      </c>
      <c r="E99" s="19"/>
      <c r="F99" s="5"/>
      <c r="H99" s="19"/>
      <c r="Q99" s="5"/>
      <c r="R99" s="9"/>
    </row>
    <row r="100">
      <c r="A100" s="39">
        <v>45472.0</v>
      </c>
      <c r="B100" s="4" t="s">
        <v>73</v>
      </c>
      <c r="C100" s="21">
        <v>11.64</v>
      </c>
      <c r="E100" s="19"/>
      <c r="F100" s="5"/>
      <c r="H100" s="19"/>
      <c r="Q100" s="5"/>
      <c r="R100" s="9"/>
    </row>
    <row r="101">
      <c r="A101" s="39">
        <v>45472.0</v>
      </c>
      <c r="B101" s="4" t="s">
        <v>59</v>
      </c>
      <c r="C101" s="21">
        <v>3.0</v>
      </c>
      <c r="E101" s="19"/>
      <c r="F101" s="5"/>
      <c r="H101" s="19"/>
      <c r="Q101" s="5"/>
      <c r="R101" s="9"/>
    </row>
    <row r="102">
      <c r="A102" s="39">
        <v>45472.0</v>
      </c>
      <c r="B102" s="4" t="s">
        <v>127</v>
      </c>
      <c r="C102" s="21">
        <v>1.9</v>
      </c>
      <c r="E102" s="19"/>
      <c r="F102" s="5"/>
      <c r="H102" s="19"/>
      <c r="Q102" s="5"/>
      <c r="R102" s="9"/>
    </row>
    <row r="103">
      <c r="A103" s="39">
        <v>45473.0</v>
      </c>
      <c r="B103" s="4" t="s">
        <v>47</v>
      </c>
      <c r="C103" s="21">
        <v>6.75</v>
      </c>
      <c r="E103" s="19"/>
      <c r="F103" s="5"/>
      <c r="H103" s="19"/>
      <c r="Q103" s="5"/>
      <c r="R103" s="9"/>
    </row>
    <row r="104">
      <c r="A104" s="39">
        <v>45473.0</v>
      </c>
      <c r="B104" s="4" t="s">
        <v>143</v>
      </c>
      <c r="C104" s="21">
        <v>10.0</v>
      </c>
      <c r="E104" s="19"/>
      <c r="F104" s="5"/>
      <c r="H104" s="19"/>
      <c r="Q104" s="5"/>
      <c r="R104" s="9"/>
    </row>
    <row r="105">
      <c r="A105" s="39">
        <v>45473.0</v>
      </c>
      <c r="B105" s="4" t="s">
        <v>45</v>
      </c>
      <c r="C105" s="4">
        <v>12.3</v>
      </c>
      <c r="E105" s="19"/>
      <c r="F105" s="5"/>
      <c r="H105" s="19"/>
      <c r="Q105" s="5"/>
      <c r="R105" s="9"/>
    </row>
    <row r="106">
      <c r="A106" s="39">
        <v>45473.0</v>
      </c>
      <c r="B106" s="4" t="s">
        <v>164</v>
      </c>
      <c r="C106" s="21">
        <v>14.99</v>
      </c>
      <c r="E106" s="19"/>
      <c r="F106" s="5"/>
      <c r="H106" s="19"/>
      <c r="Q106" s="5"/>
      <c r="R106" s="9"/>
    </row>
    <row r="107">
      <c r="A107" s="39">
        <v>45473.0</v>
      </c>
      <c r="B107" s="4" t="s">
        <v>45</v>
      </c>
      <c r="C107" s="21">
        <v>10.8</v>
      </c>
      <c r="E107" s="19"/>
      <c r="F107" s="5"/>
      <c r="H107" s="19"/>
      <c r="Q107" s="5"/>
      <c r="R107" s="9"/>
    </row>
    <row r="108">
      <c r="A108" s="39">
        <v>45473.0</v>
      </c>
      <c r="B108" s="4" t="s">
        <v>45</v>
      </c>
      <c r="C108" s="21">
        <v>5.2</v>
      </c>
      <c r="E108" s="19"/>
      <c r="F108" s="5"/>
      <c r="H108" s="19"/>
      <c r="Q108" s="5"/>
      <c r="R108" s="9"/>
    </row>
    <row r="109">
      <c r="A109" s="39">
        <v>45473.0</v>
      </c>
      <c r="B109" s="4" t="s">
        <v>45</v>
      </c>
      <c r="C109" s="21">
        <v>11.2</v>
      </c>
      <c r="E109" s="19"/>
      <c r="F109" s="5"/>
      <c r="H109" s="19"/>
      <c r="Q109" s="5"/>
      <c r="R109" s="9"/>
    </row>
    <row r="110">
      <c r="A110" s="39">
        <v>45473.0</v>
      </c>
      <c r="B110" s="4" t="s">
        <v>350</v>
      </c>
      <c r="C110" s="21">
        <v>3.99</v>
      </c>
      <c r="E110" s="19"/>
      <c r="F110" s="5"/>
      <c r="H110" s="19"/>
      <c r="Q110" s="5"/>
      <c r="R110" s="9"/>
    </row>
    <row r="111">
      <c r="A111" s="39">
        <v>45473.0</v>
      </c>
      <c r="B111" s="4" t="s">
        <v>351</v>
      </c>
      <c r="C111" s="21">
        <v>24.99</v>
      </c>
      <c r="E111" s="19"/>
      <c r="F111" s="5"/>
      <c r="H111" s="19"/>
      <c r="Q111" s="5"/>
      <c r="R111" s="9"/>
    </row>
    <row r="112">
      <c r="A112" s="44"/>
      <c r="C112" s="5"/>
      <c r="E112" s="19"/>
      <c r="F112" s="5"/>
      <c r="H112" s="19"/>
      <c r="Q112" s="5"/>
      <c r="R112" s="9"/>
    </row>
    <row r="113">
      <c r="A113" s="44"/>
      <c r="C113" s="5"/>
      <c r="E113" s="19"/>
      <c r="F113" s="5"/>
      <c r="H113" s="19"/>
      <c r="Q113" s="5"/>
      <c r="R113" s="9"/>
    </row>
    <row r="114">
      <c r="A114" s="44"/>
      <c r="C114" s="5"/>
      <c r="E114" s="19"/>
      <c r="F114" s="5"/>
      <c r="H114" s="19"/>
      <c r="Q114" s="5"/>
      <c r="R114" s="9"/>
    </row>
    <row r="115">
      <c r="A115" s="44"/>
      <c r="C115" s="5"/>
      <c r="E115" s="19"/>
      <c r="F115" s="5"/>
      <c r="H115" s="19"/>
      <c r="Q115" s="5"/>
      <c r="R115" s="9"/>
    </row>
    <row r="116">
      <c r="A116" s="44"/>
      <c r="C116" s="5"/>
      <c r="E116" s="19"/>
      <c r="F116" s="5"/>
      <c r="H116" s="19"/>
      <c r="Q116" s="5"/>
      <c r="R116" s="9"/>
    </row>
    <row r="117">
      <c r="A117" s="44"/>
      <c r="C117" s="5"/>
      <c r="E117" s="19"/>
      <c r="F117" s="5"/>
      <c r="H117" s="19"/>
      <c r="Q117" s="5"/>
      <c r="R117" s="9"/>
    </row>
    <row r="118">
      <c r="A118" s="44"/>
      <c r="C118" s="5"/>
      <c r="E118" s="19"/>
      <c r="F118" s="5"/>
      <c r="H118" s="19"/>
      <c r="Q118" s="5"/>
      <c r="R118" s="9"/>
    </row>
    <row r="119">
      <c r="A119" s="44"/>
      <c r="C119" s="5"/>
      <c r="E119" s="19"/>
      <c r="F119" s="5"/>
      <c r="H119" s="19"/>
      <c r="Q119" s="5"/>
      <c r="R119" s="9"/>
    </row>
    <row r="120">
      <c r="A120" s="44"/>
      <c r="C120" s="5"/>
      <c r="E120" s="19"/>
      <c r="F120" s="5"/>
      <c r="H120" s="19"/>
      <c r="Q120" s="5"/>
      <c r="R120" s="9"/>
    </row>
    <row r="121">
      <c r="A121" s="44"/>
      <c r="C121" s="5"/>
      <c r="E121" s="19"/>
      <c r="F121" s="5"/>
      <c r="H121" s="19"/>
      <c r="Q121" s="5"/>
      <c r="R121" s="9"/>
    </row>
    <row r="122">
      <c r="A122" s="44"/>
      <c r="C122" s="5"/>
      <c r="E122" s="19"/>
      <c r="F122" s="5"/>
      <c r="H122" s="19"/>
      <c r="Q122" s="5"/>
      <c r="R122" s="9"/>
    </row>
    <row r="123">
      <c r="A123" s="44"/>
      <c r="C123" s="5"/>
      <c r="E123" s="19"/>
      <c r="F123" s="5"/>
      <c r="H123" s="19"/>
      <c r="Q123" s="5"/>
      <c r="R123" s="9"/>
    </row>
    <row r="124">
      <c r="A124" s="44"/>
      <c r="C124" s="5"/>
      <c r="E124" s="19"/>
      <c r="F124" s="5"/>
      <c r="H124" s="19"/>
      <c r="Q124" s="5"/>
      <c r="R124" s="9"/>
    </row>
    <row r="125">
      <c r="A125" s="44"/>
      <c r="C125" s="5"/>
      <c r="E125" s="19"/>
      <c r="F125" s="5"/>
      <c r="H125" s="19"/>
      <c r="Q125" s="5"/>
      <c r="R125" s="9"/>
    </row>
    <row r="126">
      <c r="A126" s="44"/>
      <c r="C126" s="5"/>
      <c r="E126" s="19"/>
      <c r="F126" s="5"/>
      <c r="H126" s="19"/>
      <c r="Q126" s="5"/>
      <c r="R126" s="9"/>
    </row>
    <row r="127">
      <c r="A127" s="44"/>
      <c r="C127" s="5"/>
      <c r="E127" s="19"/>
      <c r="F127" s="5"/>
      <c r="H127" s="19"/>
      <c r="Q127" s="5"/>
      <c r="R127" s="9"/>
    </row>
    <row r="128">
      <c r="A128" s="44"/>
      <c r="C128" s="5"/>
      <c r="E128" s="19"/>
      <c r="F128" s="5"/>
      <c r="H128" s="19"/>
      <c r="Q128" s="5"/>
      <c r="R128" s="9"/>
    </row>
    <row r="129">
      <c r="A129" s="44"/>
      <c r="C129" s="5"/>
      <c r="E129" s="19"/>
      <c r="F129" s="5"/>
      <c r="H129" s="19"/>
      <c r="Q129" s="5"/>
      <c r="R129" s="9"/>
    </row>
    <row r="130">
      <c r="A130" s="44"/>
      <c r="C130" s="5"/>
      <c r="E130" s="19"/>
      <c r="F130" s="5"/>
      <c r="H130" s="19"/>
      <c r="Q130" s="5"/>
      <c r="R130" s="9"/>
    </row>
    <row r="131">
      <c r="A131" s="44"/>
      <c r="C131" s="5"/>
      <c r="E131" s="19"/>
      <c r="F131" s="5"/>
      <c r="H131" s="19"/>
      <c r="Q131" s="5"/>
      <c r="R131" s="9"/>
    </row>
    <row r="132">
      <c r="A132" s="44"/>
      <c r="C132" s="5"/>
      <c r="E132" s="19"/>
      <c r="F132" s="5"/>
      <c r="H132" s="19"/>
      <c r="Q132" s="5"/>
      <c r="R132" s="9"/>
    </row>
    <row r="133">
      <c r="A133" s="44"/>
      <c r="C133" s="5"/>
      <c r="E133" s="19"/>
      <c r="F133" s="5"/>
      <c r="H133" s="19"/>
      <c r="Q133" s="5"/>
      <c r="R133" s="9"/>
    </row>
    <row r="134">
      <c r="A134" s="44"/>
      <c r="C134" s="5"/>
      <c r="E134" s="19"/>
      <c r="F134" s="5"/>
      <c r="H134" s="19"/>
      <c r="Q134" s="5"/>
      <c r="R134" s="9"/>
    </row>
    <row r="135">
      <c r="A135" s="44"/>
      <c r="C135" s="5"/>
      <c r="E135" s="19"/>
      <c r="F135" s="5"/>
      <c r="H135" s="19"/>
      <c r="Q135" s="5"/>
      <c r="R135" s="9"/>
    </row>
    <row r="136">
      <c r="A136" s="44"/>
      <c r="C136" s="5"/>
      <c r="E136" s="19"/>
      <c r="F136" s="5"/>
      <c r="H136" s="19"/>
      <c r="Q136" s="5"/>
      <c r="R136" s="9"/>
    </row>
    <row r="137">
      <c r="A137" s="44"/>
      <c r="C137" s="5"/>
      <c r="E137" s="19"/>
      <c r="F137" s="5"/>
      <c r="H137" s="19"/>
      <c r="Q137" s="5"/>
      <c r="R137" s="9"/>
    </row>
    <row r="138">
      <c r="A138" s="44"/>
      <c r="C138" s="5"/>
      <c r="E138" s="19"/>
      <c r="F138" s="5"/>
      <c r="H138" s="19"/>
      <c r="Q138" s="5"/>
      <c r="R138" s="9"/>
    </row>
    <row r="139">
      <c r="A139" s="44"/>
      <c r="C139" s="5"/>
      <c r="E139" s="19"/>
      <c r="F139" s="5"/>
      <c r="H139" s="19"/>
      <c r="Q139" s="5"/>
      <c r="R139" s="9"/>
    </row>
    <row r="140">
      <c r="A140" s="44"/>
      <c r="C140" s="5"/>
      <c r="E140" s="19"/>
      <c r="F140" s="5"/>
      <c r="H140" s="19"/>
      <c r="Q140" s="5"/>
      <c r="R140" s="9"/>
    </row>
    <row r="141">
      <c r="A141" s="44"/>
      <c r="C141" s="5"/>
      <c r="E141" s="19"/>
      <c r="F141" s="5"/>
      <c r="H141" s="19"/>
      <c r="Q141" s="5"/>
      <c r="R141" s="9"/>
    </row>
    <row r="142">
      <c r="A142" s="44"/>
      <c r="C142" s="5"/>
      <c r="E142" s="19"/>
      <c r="F142" s="5"/>
      <c r="H142" s="19"/>
      <c r="Q142" s="5"/>
      <c r="R142" s="9"/>
    </row>
    <row r="143">
      <c r="A143" s="44"/>
      <c r="C143" s="5"/>
      <c r="E143" s="19"/>
      <c r="F143" s="5"/>
      <c r="H143" s="19"/>
      <c r="Q143" s="5"/>
      <c r="R143" s="9"/>
    </row>
    <row r="144">
      <c r="A144" s="44"/>
      <c r="C144" s="5"/>
      <c r="E144" s="19"/>
      <c r="F144" s="5"/>
      <c r="H144" s="19"/>
      <c r="Q144" s="5"/>
      <c r="R144" s="9"/>
    </row>
    <row r="145">
      <c r="A145" s="44"/>
      <c r="C145" s="5"/>
      <c r="E145" s="19"/>
      <c r="F145" s="5"/>
      <c r="H145" s="19"/>
      <c r="Q145" s="5"/>
      <c r="R145" s="9"/>
    </row>
    <row r="146">
      <c r="A146" s="44"/>
      <c r="C146" s="5"/>
      <c r="E146" s="19"/>
      <c r="F146" s="5"/>
      <c r="H146" s="19"/>
      <c r="Q146" s="5"/>
      <c r="R146" s="9"/>
    </row>
    <row r="147">
      <c r="A147" s="44"/>
      <c r="C147" s="5"/>
      <c r="E147" s="19"/>
      <c r="F147" s="5"/>
      <c r="H147" s="19"/>
      <c r="Q147" s="5"/>
      <c r="R147" s="9"/>
    </row>
    <row r="148">
      <c r="A148" s="44"/>
      <c r="C148" s="5"/>
      <c r="E148" s="19"/>
      <c r="F148" s="5"/>
      <c r="H148" s="19"/>
      <c r="Q148" s="5"/>
      <c r="R148" s="9"/>
    </row>
    <row r="149">
      <c r="A149" s="44"/>
      <c r="C149" s="5"/>
      <c r="E149" s="19"/>
      <c r="F149" s="5"/>
      <c r="H149" s="19"/>
      <c r="Q149" s="5"/>
      <c r="R149" s="9"/>
    </row>
    <row r="150">
      <c r="A150" s="44"/>
      <c r="C150" s="5"/>
      <c r="E150" s="19"/>
      <c r="F150" s="5"/>
      <c r="H150" s="19"/>
      <c r="Q150" s="5"/>
      <c r="R150" s="9"/>
    </row>
    <row r="151">
      <c r="A151" s="44"/>
      <c r="C151" s="5"/>
      <c r="E151" s="19"/>
      <c r="F151" s="5"/>
      <c r="H151" s="19"/>
      <c r="Q151" s="5"/>
      <c r="R151" s="9"/>
    </row>
    <row r="152">
      <c r="A152" s="44"/>
      <c r="C152" s="5"/>
      <c r="E152" s="19"/>
      <c r="F152" s="5"/>
      <c r="H152" s="19"/>
      <c r="Q152" s="5"/>
      <c r="R152" s="9"/>
    </row>
    <row r="153">
      <c r="A153" s="44"/>
      <c r="C153" s="5"/>
      <c r="E153" s="19"/>
      <c r="F153" s="5"/>
      <c r="H153" s="19"/>
      <c r="Q153" s="5"/>
      <c r="R153" s="9"/>
    </row>
    <row r="154">
      <c r="A154" s="44"/>
      <c r="C154" s="5"/>
      <c r="E154" s="19"/>
      <c r="F154" s="5"/>
      <c r="H154" s="19"/>
      <c r="Q154" s="5"/>
      <c r="R154" s="9"/>
    </row>
    <row r="155">
      <c r="A155" s="44"/>
      <c r="C155" s="5"/>
      <c r="E155" s="19"/>
      <c r="F155" s="5"/>
      <c r="H155" s="19"/>
      <c r="Q155" s="5"/>
      <c r="R155" s="9"/>
    </row>
    <row r="156">
      <c r="A156" s="44"/>
      <c r="C156" s="5"/>
      <c r="E156" s="19"/>
      <c r="F156" s="5"/>
      <c r="H156" s="19"/>
      <c r="Q156" s="5"/>
      <c r="R156" s="9"/>
    </row>
    <row r="157">
      <c r="A157" s="44"/>
      <c r="C157" s="5"/>
      <c r="E157" s="19"/>
      <c r="F157" s="5"/>
      <c r="H157" s="19"/>
      <c r="Q157" s="5"/>
      <c r="R157" s="9"/>
    </row>
    <row r="158">
      <c r="A158" s="44"/>
      <c r="C158" s="5"/>
      <c r="E158" s="19"/>
      <c r="F158" s="5"/>
      <c r="H158" s="19"/>
      <c r="Q158" s="5"/>
      <c r="R158" s="9"/>
    </row>
    <row r="159">
      <c r="A159" s="44"/>
      <c r="C159" s="5"/>
      <c r="E159" s="19"/>
      <c r="F159" s="5"/>
      <c r="H159" s="19"/>
      <c r="Q159" s="5"/>
      <c r="R159" s="9"/>
    </row>
    <row r="160">
      <c r="A160" s="44"/>
      <c r="C160" s="5"/>
      <c r="E160" s="19"/>
      <c r="F160" s="5"/>
      <c r="H160" s="19"/>
      <c r="Q160" s="5"/>
      <c r="R160" s="9"/>
    </row>
    <row r="161">
      <c r="A161" s="44"/>
      <c r="C161" s="5"/>
      <c r="E161" s="19"/>
      <c r="F161" s="5"/>
      <c r="H161" s="19"/>
      <c r="Q161" s="5"/>
      <c r="R161" s="9"/>
    </row>
    <row r="162">
      <c r="A162" s="44"/>
      <c r="C162" s="5"/>
      <c r="E162" s="19"/>
      <c r="F162" s="5"/>
      <c r="H162" s="19"/>
      <c r="Q162" s="5"/>
      <c r="R162" s="9"/>
    </row>
    <row r="163">
      <c r="A163" s="44"/>
      <c r="C163" s="5"/>
      <c r="E163" s="19"/>
      <c r="F163" s="5"/>
      <c r="H163" s="19"/>
      <c r="Q163" s="5"/>
      <c r="R163" s="9"/>
    </row>
    <row r="164">
      <c r="A164" s="44"/>
      <c r="C164" s="5"/>
      <c r="E164" s="19"/>
      <c r="F164" s="5"/>
      <c r="H164" s="19"/>
      <c r="Q164" s="5"/>
      <c r="R164" s="9"/>
    </row>
    <row r="165">
      <c r="A165" s="44"/>
      <c r="C165" s="5"/>
      <c r="E165" s="19"/>
      <c r="F165" s="5"/>
      <c r="H165" s="19"/>
      <c r="Q165" s="5"/>
      <c r="R165" s="9"/>
    </row>
    <row r="166">
      <c r="A166" s="44"/>
      <c r="C166" s="5"/>
      <c r="E166" s="19"/>
      <c r="F166" s="5"/>
      <c r="H166" s="19"/>
      <c r="Q166" s="5"/>
      <c r="R166" s="9"/>
    </row>
    <row r="167">
      <c r="A167" s="44"/>
      <c r="C167" s="5"/>
      <c r="E167" s="19"/>
      <c r="F167" s="5"/>
      <c r="H167" s="19"/>
      <c r="Q167" s="5"/>
      <c r="R167" s="9"/>
    </row>
    <row r="168">
      <c r="A168" s="44"/>
      <c r="C168" s="5"/>
      <c r="E168" s="19"/>
      <c r="F168" s="5"/>
      <c r="H168" s="19"/>
      <c r="Q168" s="5"/>
      <c r="R168" s="9"/>
    </row>
    <row r="169">
      <c r="A169" s="44"/>
      <c r="C169" s="5"/>
      <c r="E169" s="19"/>
      <c r="F169" s="5"/>
      <c r="H169" s="19"/>
      <c r="Q169" s="5"/>
      <c r="R169" s="9"/>
    </row>
    <row r="170">
      <c r="A170" s="44"/>
      <c r="C170" s="5"/>
      <c r="E170" s="19"/>
      <c r="F170" s="5"/>
      <c r="H170" s="19"/>
      <c r="Q170" s="5"/>
      <c r="R170" s="9"/>
    </row>
    <row r="171">
      <c r="A171" s="44"/>
      <c r="C171" s="5"/>
      <c r="E171" s="19"/>
      <c r="F171" s="5"/>
      <c r="H171" s="19"/>
      <c r="Q171" s="5"/>
      <c r="R171" s="9"/>
    </row>
    <row r="172">
      <c r="A172" s="44"/>
      <c r="C172" s="5"/>
      <c r="E172" s="19"/>
      <c r="F172" s="5"/>
      <c r="H172" s="19"/>
      <c r="Q172" s="5"/>
      <c r="R172" s="9"/>
    </row>
    <row r="173">
      <c r="A173" s="44"/>
      <c r="C173" s="5"/>
      <c r="E173" s="19"/>
      <c r="F173" s="5"/>
      <c r="H173" s="19"/>
      <c r="Q173" s="5"/>
      <c r="R173" s="9"/>
    </row>
    <row r="174">
      <c r="A174" s="44"/>
      <c r="C174" s="5"/>
      <c r="E174" s="19"/>
      <c r="F174" s="5"/>
      <c r="H174" s="19"/>
      <c r="Q174" s="5"/>
      <c r="R174" s="9"/>
    </row>
    <row r="175">
      <c r="A175" s="44"/>
      <c r="C175" s="5"/>
      <c r="E175" s="19"/>
      <c r="F175" s="5"/>
      <c r="H175" s="19"/>
      <c r="Q175" s="5"/>
      <c r="R175" s="9"/>
    </row>
    <row r="176">
      <c r="A176" s="44"/>
      <c r="C176" s="5"/>
      <c r="E176" s="19"/>
      <c r="F176" s="5"/>
      <c r="H176" s="19"/>
      <c r="Q176" s="5"/>
      <c r="R176" s="9"/>
    </row>
    <row r="177">
      <c r="A177" s="44"/>
      <c r="C177" s="5"/>
      <c r="E177" s="19"/>
      <c r="F177" s="5"/>
      <c r="H177" s="19"/>
      <c r="Q177" s="5"/>
      <c r="R177" s="9"/>
    </row>
    <row r="178">
      <c r="A178" s="44"/>
      <c r="C178" s="5"/>
      <c r="E178" s="19"/>
      <c r="F178" s="5"/>
      <c r="H178" s="19"/>
      <c r="Q178" s="5"/>
      <c r="R178" s="9"/>
    </row>
    <row r="179">
      <c r="A179" s="44"/>
      <c r="C179" s="5"/>
      <c r="E179" s="19"/>
      <c r="F179" s="5"/>
      <c r="H179" s="19"/>
      <c r="Q179" s="5"/>
      <c r="R179" s="9"/>
    </row>
    <row r="180">
      <c r="A180" s="44"/>
      <c r="C180" s="5"/>
      <c r="E180" s="19"/>
      <c r="F180" s="5"/>
      <c r="H180" s="19"/>
      <c r="Q180" s="5"/>
      <c r="R180" s="9"/>
    </row>
    <row r="181">
      <c r="A181" s="44"/>
      <c r="C181" s="5"/>
      <c r="E181" s="19"/>
      <c r="F181" s="5"/>
      <c r="H181" s="19"/>
      <c r="Q181" s="5"/>
      <c r="R181" s="9"/>
    </row>
    <row r="182">
      <c r="A182" s="44"/>
      <c r="C182" s="5"/>
      <c r="E182" s="19"/>
      <c r="F182" s="5"/>
      <c r="H182" s="19"/>
      <c r="Q182" s="5"/>
      <c r="R182" s="9"/>
    </row>
    <row r="183">
      <c r="A183" s="44"/>
      <c r="C183" s="5"/>
      <c r="E183" s="19"/>
      <c r="F183" s="5"/>
      <c r="H183" s="19"/>
      <c r="Q183" s="5"/>
      <c r="R183" s="9"/>
    </row>
    <row r="184">
      <c r="A184" s="44"/>
      <c r="C184" s="5"/>
      <c r="E184" s="19"/>
      <c r="F184" s="5"/>
      <c r="H184" s="19"/>
      <c r="Q184" s="5"/>
      <c r="R184" s="9"/>
    </row>
    <row r="185">
      <c r="A185" s="44"/>
      <c r="C185" s="5"/>
      <c r="E185" s="19"/>
      <c r="F185" s="5"/>
      <c r="H185" s="19"/>
      <c r="Q185" s="5"/>
      <c r="R185" s="9"/>
    </row>
    <row r="186">
      <c r="A186" s="44"/>
      <c r="C186" s="5"/>
      <c r="E186" s="19"/>
      <c r="F186" s="5"/>
      <c r="H186" s="19"/>
      <c r="Q186" s="5"/>
      <c r="R186" s="9"/>
    </row>
    <row r="187">
      <c r="A187" s="44"/>
      <c r="C187" s="5"/>
      <c r="E187" s="19"/>
      <c r="F187" s="5"/>
      <c r="H187" s="19"/>
      <c r="Q187" s="5"/>
      <c r="R187" s="9"/>
    </row>
    <row r="188">
      <c r="A188" s="44"/>
      <c r="C188" s="5"/>
      <c r="E188" s="19"/>
      <c r="F188" s="5"/>
      <c r="H188" s="19"/>
      <c r="Q188" s="5"/>
      <c r="R188" s="9"/>
    </row>
    <row r="189">
      <c r="A189" s="44"/>
      <c r="C189" s="5"/>
      <c r="E189" s="19"/>
      <c r="F189" s="5"/>
      <c r="H189" s="19"/>
      <c r="Q189" s="5"/>
      <c r="R189" s="9"/>
    </row>
    <row r="190">
      <c r="A190" s="44"/>
      <c r="C190" s="5"/>
      <c r="E190" s="19"/>
      <c r="F190" s="5"/>
      <c r="H190" s="19"/>
      <c r="Q190" s="5"/>
      <c r="R190" s="9"/>
    </row>
    <row r="191">
      <c r="A191" s="44"/>
      <c r="C191" s="5"/>
      <c r="E191" s="19"/>
      <c r="F191" s="5"/>
      <c r="H191" s="19"/>
      <c r="Q191" s="5"/>
      <c r="R191" s="9"/>
    </row>
    <row r="192">
      <c r="A192" s="44"/>
      <c r="C192" s="5"/>
      <c r="E192" s="19"/>
      <c r="F192" s="5"/>
      <c r="H192" s="19"/>
      <c r="Q192" s="5"/>
      <c r="R192" s="9"/>
    </row>
    <row r="193">
      <c r="A193" s="44"/>
      <c r="C193" s="5"/>
      <c r="E193" s="19"/>
      <c r="F193" s="5"/>
      <c r="H193" s="19"/>
      <c r="Q193" s="5"/>
      <c r="R193" s="9"/>
    </row>
    <row r="194">
      <c r="A194" s="44"/>
      <c r="C194" s="5"/>
      <c r="E194" s="19"/>
      <c r="F194" s="5"/>
      <c r="H194" s="19"/>
      <c r="Q194" s="5"/>
      <c r="R194" s="9"/>
    </row>
    <row r="195">
      <c r="A195" s="44"/>
      <c r="C195" s="5"/>
      <c r="E195" s="19"/>
      <c r="F195" s="5"/>
      <c r="H195" s="19"/>
      <c r="Q195" s="5"/>
      <c r="R195" s="9"/>
    </row>
    <row r="196">
      <c r="A196" s="44"/>
      <c r="C196" s="5"/>
      <c r="E196" s="19"/>
      <c r="F196" s="5"/>
      <c r="H196" s="19"/>
      <c r="Q196" s="5"/>
      <c r="R196" s="9"/>
    </row>
    <row r="197">
      <c r="A197" s="44"/>
      <c r="C197" s="5"/>
      <c r="E197" s="19"/>
      <c r="F197" s="5"/>
      <c r="H197" s="19"/>
      <c r="Q197" s="5"/>
      <c r="R197" s="9"/>
    </row>
    <row r="198">
      <c r="A198" s="44"/>
      <c r="C198" s="5"/>
      <c r="E198" s="19"/>
      <c r="F198" s="5"/>
      <c r="H198" s="19"/>
      <c r="Q198" s="5"/>
      <c r="R198" s="9"/>
    </row>
    <row r="199">
      <c r="A199" s="44"/>
      <c r="C199" s="5"/>
      <c r="E199" s="19"/>
      <c r="F199" s="5"/>
      <c r="H199" s="19"/>
      <c r="Q199" s="5"/>
      <c r="R199" s="9"/>
    </row>
    <row r="200">
      <c r="A200" s="44"/>
      <c r="C200" s="5"/>
      <c r="E200" s="19"/>
      <c r="F200" s="5"/>
      <c r="H200" s="19"/>
      <c r="Q200" s="5"/>
      <c r="R200" s="9"/>
    </row>
    <row r="201">
      <c r="A201" s="44"/>
      <c r="C201" s="5"/>
      <c r="E201" s="19"/>
      <c r="F201" s="5"/>
      <c r="H201" s="19"/>
      <c r="Q201" s="5"/>
      <c r="R201" s="9"/>
    </row>
    <row r="202">
      <c r="A202" s="44"/>
      <c r="C202" s="5"/>
      <c r="E202" s="19"/>
      <c r="F202" s="5"/>
      <c r="H202" s="19"/>
      <c r="Q202" s="5"/>
      <c r="R202" s="9"/>
    </row>
    <row r="203">
      <c r="A203" s="44"/>
      <c r="C203" s="5"/>
      <c r="E203" s="19"/>
      <c r="F203" s="5"/>
      <c r="H203" s="19"/>
      <c r="Q203" s="5"/>
      <c r="R203" s="9"/>
    </row>
    <row r="204">
      <c r="A204" s="44"/>
      <c r="C204" s="5"/>
      <c r="E204" s="19"/>
      <c r="F204" s="5"/>
      <c r="H204" s="19"/>
      <c r="Q204" s="5"/>
      <c r="R204" s="9"/>
    </row>
    <row r="205">
      <c r="A205" s="44"/>
      <c r="C205" s="5"/>
      <c r="E205" s="19"/>
      <c r="F205" s="5"/>
      <c r="H205" s="19"/>
      <c r="Q205" s="5"/>
      <c r="R205" s="9"/>
    </row>
    <row r="206">
      <c r="A206" s="44"/>
      <c r="C206" s="5"/>
      <c r="E206" s="19"/>
      <c r="F206" s="5"/>
      <c r="H206" s="19"/>
      <c r="Q206" s="5"/>
      <c r="R206" s="9"/>
    </row>
    <row r="207">
      <c r="A207" s="44"/>
      <c r="C207" s="5"/>
      <c r="E207" s="19"/>
      <c r="F207" s="5"/>
      <c r="H207" s="19"/>
      <c r="Q207" s="5"/>
      <c r="R207" s="9"/>
    </row>
    <row r="208">
      <c r="A208" s="44"/>
      <c r="C208" s="5"/>
      <c r="E208" s="19"/>
      <c r="F208" s="5"/>
      <c r="H208" s="19"/>
      <c r="Q208" s="5"/>
      <c r="R208" s="9"/>
    </row>
    <row r="209">
      <c r="A209" s="44"/>
      <c r="C209" s="5"/>
      <c r="E209" s="19"/>
      <c r="F209" s="5"/>
      <c r="H209" s="19"/>
      <c r="Q209" s="5"/>
      <c r="R209" s="9"/>
    </row>
    <row r="210">
      <c r="A210" s="44"/>
      <c r="C210" s="5"/>
      <c r="E210" s="19"/>
      <c r="F210" s="5"/>
      <c r="H210" s="19"/>
      <c r="Q210" s="5"/>
      <c r="R210" s="9"/>
    </row>
    <row r="211">
      <c r="A211" s="44"/>
      <c r="C211" s="5"/>
      <c r="E211" s="19"/>
      <c r="F211" s="5"/>
      <c r="H211" s="19"/>
      <c r="Q211" s="5"/>
      <c r="R211" s="9"/>
    </row>
    <row r="212">
      <c r="A212" s="44"/>
      <c r="C212" s="5"/>
      <c r="E212" s="19"/>
      <c r="F212" s="5"/>
      <c r="H212" s="19"/>
      <c r="Q212" s="5"/>
      <c r="R212" s="9"/>
    </row>
    <row r="213">
      <c r="A213" s="44"/>
      <c r="C213" s="5"/>
      <c r="E213" s="19"/>
      <c r="F213" s="5"/>
      <c r="H213" s="19"/>
      <c r="Q213" s="5"/>
      <c r="R213" s="9"/>
    </row>
    <row r="214">
      <c r="A214" s="44"/>
      <c r="C214" s="5"/>
      <c r="E214" s="19"/>
      <c r="F214" s="5"/>
      <c r="H214" s="19"/>
      <c r="Q214" s="5"/>
      <c r="R214" s="9"/>
    </row>
    <row r="215">
      <c r="A215" s="44"/>
      <c r="C215" s="5"/>
      <c r="E215" s="19"/>
      <c r="F215" s="5"/>
      <c r="H215" s="19"/>
      <c r="Q215" s="5"/>
      <c r="R215" s="9"/>
    </row>
    <row r="216">
      <c r="A216" s="44"/>
      <c r="C216" s="5"/>
      <c r="E216" s="19"/>
      <c r="F216" s="5"/>
      <c r="H216" s="19"/>
      <c r="Q216" s="5"/>
      <c r="R216" s="9"/>
    </row>
    <row r="217">
      <c r="A217" s="44"/>
      <c r="C217" s="5"/>
      <c r="E217" s="19"/>
      <c r="F217" s="5"/>
      <c r="H217" s="19"/>
      <c r="Q217" s="5"/>
      <c r="R217" s="9"/>
    </row>
    <row r="218">
      <c r="A218" s="44"/>
      <c r="C218" s="5"/>
      <c r="E218" s="19"/>
      <c r="F218" s="5"/>
      <c r="H218" s="19"/>
      <c r="Q218" s="5"/>
      <c r="R218" s="9"/>
    </row>
    <row r="219">
      <c r="A219" s="44"/>
      <c r="C219" s="5"/>
      <c r="E219" s="19"/>
      <c r="F219" s="5"/>
      <c r="H219" s="19"/>
      <c r="Q219" s="5"/>
      <c r="R219" s="9"/>
    </row>
    <row r="220">
      <c r="A220" s="44"/>
      <c r="C220" s="5"/>
      <c r="E220" s="19"/>
      <c r="F220" s="5"/>
      <c r="H220" s="19"/>
      <c r="Q220" s="5"/>
      <c r="R220" s="9"/>
    </row>
    <row r="221">
      <c r="A221" s="44"/>
      <c r="C221" s="5"/>
      <c r="E221" s="19"/>
      <c r="F221" s="5"/>
      <c r="H221" s="19"/>
      <c r="Q221" s="5"/>
      <c r="R221" s="9"/>
    </row>
    <row r="222">
      <c r="A222" s="44"/>
      <c r="C222" s="5"/>
      <c r="E222" s="19"/>
      <c r="F222" s="5"/>
      <c r="H222" s="19"/>
      <c r="Q222" s="5"/>
      <c r="R222" s="9"/>
    </row>
    <row r="223">
      <c r="A223" s="44"/>
      <c r="C223" s="5"/>
      <c r="E223" s="19"/>
      <c r="F223" s="5"/>
      <c r="H223" s="19"/>
      <c r="Q223" s="5"/>
      <c r="R223" s="9"/>
    </row>
    <row r="224">
      <c r="A224" s="44"/>
      <c r="C224" s="5"/>
      <c r="E224" s="19"/>
      <c r="F224" s="5"/>
      <c r="H224" s="19"/>
      <c r="Q224" s="5"/>
      <c r="R224" s="9"/>
    </row>
    <row r="225">
      <c r="A225" s="44"/>
      <c r="C225" s="5"/>
      <c r="E225" s="19"/>
      <c r="F225" s="5"/>
      <c r="H225" s="19"/>
      <c r="Q225" s="5"/>
      <c r="R225" s="9"/>
    </row>
    <row r="226">
      <c r="A226" s="44"/>
      <c r="C226" s="5"/>
      <c r="E226" s="19"/>
      <c r="F226" s="5"/>
      <c r="H226" s="19"/>
      <c r="Q226" s="5"/>
      <c r="R226" s="9"/>
    </row>
    <row r="227">
      <c r="A227" s="44"/>
      <c r="C227" s="5"/>
      <c r="E227" s="19"/>
      <c r="F227" s="5"/>
      <c r="H227" s="19"/>
      <c r="Q227" s="5"/>
      <c r="R227" s="9"/>
    </row>
    <row r="228">
      <c r="A228" s="44"/>
      <c r="C228" s="5"/>
      <c r="E228" s="19"/>
      <c r="F228" s="5"/>
      <c r="H228" s="19"/>
      <c r="Q228" s="5"/>
      <c r="R228" s="9"/>
    </row>
    <row r="229">
      <c r="A229" s="44"/>
      <c r="C229" s="5"/>
      <c r="E229" s="19"/>
      <c r="F229" s="5"/>
      <c r="H229" s="19"/>
      <c r="Q229" s="5"/>
      <c r="R229" s="9"/>
    </row>
    <row r="230">
      <c r="A230" s="44"/>
      <c r="C230" s="5"/>
      <c r="E230" s="19"/>
      <c r="F230" s="5"/>
      <c r="H230" s="19"/>
      <c r="Q230" s="5"/>
      <c r="R230" s="9"/>
    </row>
    <row r="231">
      <c r="A231" s="44"/>
      <c r="C231" s="5"/>
      <c r="E231" s="19"/>
      <c r="F231" s="5"/>
      <c r="H231" s="19"/>
      <c r="Q231" s="5"/>
      <c r="R231" s="9"/>
    </row>
    <row r="232">
      <c r="A232" s="44"/>
      <c r="C232" s="5"/>
      <c r="E232" s="19"/>
      <c r="F232" s="5"/>
      <c r="H232" s="19"/>
      <c r="Q232" s="5"/>
      <c r="R232" s="9"/>
    </row>
    <row r="233">
      <c r="A233" s="44"/>
      <c r="C233" s="5"/>
      <c r="E233" s="19"/>
      <c r="F233" s="5"/>
      <c r="H233" s="19"/>
      <c r="Q233" s="5"/>
      <c r="R233" s="9"/>
    </row>
    <row r="234">
      <c r="A234" s="44"/>
      <c r="C234" s="5"/>
      <c r="E234" s="19"/>
      <c r="F234" s="5"/>
      <c r="H234" s="19"/>
      <c r="Q234" s="5"/>
      <c r="R234" s="9"/>
    </row>
    <row r="235">
      <c r="A235" s="44"/>
      <c r="C235" s="5"/>
      <c r="E235" s="19"/>
      <c r="F235" s="5"/>
      <c r="H235" s="19"/>
      <c r="Q235" s="5"/>
      <c r="R235" s="9"/>
    </row>
    <row r="236">
      <c r="A236" s="44"/>
      <c r="C236" s="5"/>
      <c r="E236" s="19"/>
      <c r="F236" s="5"/>
      <c r="H236" s="19"/>
      <c r="Q236" s="5"/>
      <c r="R236" s="9"/>
    </row>
    <row r="237">
      <c r="A237" s="44"/>
      <c r="C237" s="5"/>
      <c r="E237" s="19"/>
      <c r="F237" s="5"/>
      <c r="H237" s="19"/>
      <c r="Q237" s="5"/>
      <c r="R237" s="9"/>
    </row>
    <row r="238">
      <c r="A238" s="44"/>
      <c r="C238" s="5"/>
      <c r="E238" s="19"/>
      <c r="F238" s="5"/>
      <c r="H238" s="19"/>
      <c r="Q238" s="5"/>
      <c r="R238" s="9"/>
    </row>
    <row r="239">
      <c r="A239" s="44"/>
      <c r="C239" s="5"/>
      <c r="E239" s="19"/>
      <c r="F239" s="5"/>
      <c r="H239" s="19"/>
      <c r="Q239" s="5"/>
      <c r="R239" s="9"/>
    </row>
    <row r="240">
      <c r="A240" s="44"/>
      <c r="C240" s="5"/>
      <c r="E240" s="19"/>
      <c r="F240" s="5"/>
      <c r="H240" s="19"/>
      <c r="Q240" s="5"/>
      <c r="R240" s="9"/>
    </row>
    <row r="241">
      <c r="A241" s="44"/>
      <c r="C241" s="5"/>
      <c r="E241" s="19"/>
      <c r="F241" s="5"/>
      <c r="H241" s="19"/>
      <c r="Q241" s="5"/>
      <c r="R241" s="9"/>
    </row>
    <row r="242">
      <c r="A242" s="44"/>
      <c r="C242" s="5"/>
      <c r="E242" s="19"/>
      <c r="F242" s="5"/>
      <c r="H242" s="19"/>
      <c r="Q242" s="5"/>
      <c r="R242" s="9"/>
    </row>
    <row r="243">
      <c r="A243" s="44"/>
      <c r="C243" s="5"/>
      <c r="E243" s="19"/>
      <c r="F243" s="5"/>
      <c r="H243" s="19"/>
      <c r="Q243" s="5"/>
      <c r="R243" s="9"/>
    </row>
    <row r="244">
      <c r="A244" s="44"/>
      <c r="C244" s="5"/>
      <c r="E244" s="19"/>
      <c r="F244" s="5"/>
      <c r="H244" s="19"/>
      <c r="Q244" s="5"/>
      <c r="R244" s="9"/>
    </row>
    <row r="245">
      <c r="A245" s="44"/>
      <c r="C245" s="5"/>
      <c r="E245" s="19"/>
      <c r="F245" s="5"/>
      <c r="H245" s="19"/>
      <c r="Q245" s="5"/>
      <c r="R245" s="9"/>
    </row>
    <row r="246">
      <c r="A246" s="44"/>
      <c r="C246" s="5"/>
      <c r="E246" s="19"/>
      <c r="F246" s="5"/>
      <c r="H246" s="19"/>
      <c r="Q246" s="5"/>
      <c r="R246" s="9"/>
    </row>
    <row r="247">
      <c r="A247" s="44"/>
      <c r="C247" s="5"/>
      <c r="E247" s="19"/>
      <c r="F247" s="5"/>
      <c r="H247" s="19"/>
      <c r="Q247" s="5"/>
      <c r="R247" s="9"/>
    </row>
    <row r="248">
      <c r="A248" s="44"/>
      <c r="C248" s="5"/>
      <c r="E248" s="19"/>
      <c r="F248" s="5"/>
      <c r="H248" s="19"/>
      <c r="Q248" s="5"/>
      <c r="R248" s="9"/>
    </row>
    <row r="249">
      <c r="A249" s="44"/>
      <c r="C249" s="5"/>
      <c r="E249" s="19"/>
      <c r="F249" s="5"/>
      <c r="H249" s="19"/>
      <c r="Q249" s="5"/>
      <c r="R249" s="9"/>
    </row>
    <row r="250">
      <c r="A250" s="44"/>
      <c r="C250" s="5"/>
      <c r="E250" s="19"/>
      <c r="F250" s="5"/>
      <c r="H250" s="19"/>
      <c r="Q250" s="5"/>
      <c r="R250" s="9"/>
    </row>
    <row r="251">
      <c r="A251" s="44"/>
      <c r="C251" s="5"/>
      <c r="E251" s="19"/>
      <c r="F251" s="5"/>
      <c r="H251" s="19"/>
      <c r="Q251" s="5"/>
      <c r="R251" s="9"/>
    </row>
    <row r="252">
      <c r="A252" s="44"/>
      <c r="C252" s="5"/>
      <c r="E252" s="19"/>
      <c r="F252" s="5"/>
      <c r="H252" s="19"/>
      <c r="Q252" s="5"/>
      <c r="R252" s="9"/>
    </row>
    <row r="253">
      <c r="A253" s="44"/>
      <c r="C253" s="5"/>
      <c r="E253" s="19"/>
      <c r="F253" s="5"/>
      <c r="H253" s="19"/>
      <c r="Q253" s="5"/>
      <c r="R253" s="9"/>
    </row>
    <row r="254">
      <c r="A254" s="44"/>
      <c r="C254" s="5"/>
      <c r="E254" s="19"/>
      <c r="F254" s="5"/>
      <c r="H254" s="19"/>
      <c r="Q254" s="5"/>
      <c r="R254" s="9"/>
    </row>
    <row r="255">
      <c r="A255" s="44"/>
      <c r="C255" s="5"/>
      <c r="E255" s="19"/>
      <c r="F255" s="5"/>
      <c r="H255" s="19"/>
      <c r="Q255" s="5"/>
      <c r="R255" s="9"/>
    </row>
    <row r="256">
      <c r="A256" s="44"/>
      <c r="C256" s="5"/>
      <c r="E256" s="19"/>
      <c r="F256" s="5"/>
      <c r="H256" s="19"/>
      <c r="Q256" s="5"/>
      <c r="R256" s="9"/>
    </row>
    <row r="257">
      <c r="A257" s="44"/>
      <c r="C257" s="5"/>
      <c r="E257" s="19"/>
      <c r="F257" s="5"/>
      <c r="H257" s="19"/>
      <c r="Q257" s="5"/>
      <c r="R257" s="9"/>
    </row>
    <row r="258">
      <c r="A258" s="44"/>
      <c r="C258" s="5"/>
      <c r="E258" s="19"/>
      <c r="F258" s="5"/>
      <c r="H258" s="19"/>
      <c r="Q258" s="5"/>
      <c r="R258" s="9"/>
    </row>
    <row r="259">
      <c r="A259" s="44"/>
      <c r="C259" s="5"/>
      <c r="E259" s="19"/>
      <c r="F259" s="5"/>
      <c r="H259" s="19"/>
      <c r="Q259" s="5"/>
      <c r="R259" s="9"/>
    </row>
    <row r="260">
      <c r="A260" s="44"/>
      <c r="C260" s="5"/>
      <c r="E260" s="19"/>
      <c r="F260" s="5"/>
      <c r="H260" s="19"/>
      <c r="Q260" s="5"/>
      <c r="R260" s="9"/>
    </row>
    <row r="261">
      <c r="A261" s="44"/>
      <c r="C261" s="5"/>
      <c r="E261" s="19"/>
      <c r="F261" s="5"/>
      <c r="H261" s="19"/>
      <c r="Q261" s="5"/>
      <c r="R261" s="9"/>
    </row>
    <row r="262">
      <c r="A262" s="44"/>
      <c r="C262" s="5"/>
      <c r="E262" s="19"/>
      <c r="F262" s="5"/>
      <c r="H262" s="19"/>
      <c r="Q262" s="5"/>
      <c r="R262" s="9"/>
    </row>
    <row r="263">
      <c r="A263" s="44"/>
      <c r="C263" s="5"/>
      <c r="E263" s="19"/>
      <c r="F263" s="5"/>
      <c r="H263" s="19"/>
      <c r="Q263" s="5"/>
      <c r="R263" s="9"/>
    </row>
    <row r="264">
      <c r="A264" s="44"/>
      <c r="C264" s="5"/>
      <c r="E264" s="19"/>
      <c r="F264" s="5"/>
      <c r="H264" s="19"/>
      <c r="Q264" s="5"/>
      <c r="R264" s="9"/>
    </row>
    <row r="265">
      <c r="A265" s="44"/>
      <c r="C265" s="5"/>
      <c r="E265" s="19"/>
      <c r="F265" s="5"/>
      <c r="H265" s="19"/>
      <c r="Q265" s="5"/>
      <c r="R265" s="9"/>
    </row>
    <row r="266">
      <c r="A266" s="44"/>
      <c r="C266" s="5"/>
      <c r="E266" s="19"/>
      <c r="F266" s="5"/>
      <c r="H266" s="19"/>
      <c r="Q266" s="5"/>
      <c r="R266" s="9"/>
    </row>
    <row r="267">
      <c r="A267" s="44"/>
      <c r="C267" s="5"/>
      <c r="E267" s="19"/>
      <c r="F267" s="5"/>
      <c r="H267" s="19"/>
      <c r="Q267" s="5"/>
      <c r="R267" s="9"/>
    </row>
    <row r="268">
      <c r="A268" s="44"/>
      <c r="C268" s="5"/>
      <c r="E268" s="19"/>
      <c r="F268" s="5"/>
      <c r="H268" s="19"/>
      <c r="Q268" s="5"/>
      <c r="R268" s="9"/>
    </row>
    <row r="269">
      <c r="A269" s="44"/>
      <c r="C269" s="5"/>
      <c r="E269" s="19"/>
      <c r="F269" s="5"/>
      <c r="H269" s="19"/>
      <c r="Q269" s="5"/>
      <c r="R269" s="9"/>
    </row>
    <row r="270">
      <c r="A270" s="44"/>
      <c r="C270" s="5"/>
      <c r="E270" s="19"/>
      <c r="F270" s="5"/>
      <c r="H270" s="19"/>
      <c r="Q270" s="5"/>
      <c r="R270" s="9"/>
    </row>
    <row r="271">
      <c r="A271" s="44"/>
      <c r="C271" s="5"/>
      <c r="E271" s="19"/>
      <c r="F271" s="5"/>
      <c r="H271" s="19"/>
      <c r="Q271" s="5"/>
      <c r="R271" s="9"/>
    </row>
    <row r="272">
      <c r="A272" s="44"/>
      <c r="C272" s="5"/>
      <c r="E272" s="19"/>
      <c r="F272" s="5"/>
      <c r="H272" s="19"/>
      <c r="Q272" s="5"/>
      <c r="R272" s="9"/>
    </row>
    <row r="273">
      <c r="A273" s="44"/>
      <c r="C273" s="5"/>
      <c r="E273" s="19"/>
      <c r="F273" s="5"/>
      <c r="H273" s="19"/>
      <c r="Q273" s="5"/>
      <c r="R273" s="9"/>
    </row>
    <row r="274">
      <c r="A274" s="44"/>
      <c r="C274" s="5"/>
      <c r="E274" s="19"/>
      <c r="F274" s="5"/>
      <c r="H274" s="19"/>
      <c r="Q274" s="5"/>
      <c r="R274" s="9"/>
    </row>
    <row r="275">
      <c r="A275" s="44"/>
      <c r="C275" s="5"/>
      <c r="E275" s="19"/>
      <c r="F275" s="5"/>
      <c r="H275" s="19"/>
      <c r="Q275" s="5"/>
      <c r="R275" s="9"/>
    </row>
    <row r="276">
      <c r="A276" s="44"/>
      <c r="C276" s="5"/>
      <c r="E276" s="19"/>
      <c r="F276" s="5"/>
      <c r="H276" s="19"/>
      <c r="Q276" s="5"/>
      <c r="R276" s="9"/>
    </row>
    <row r="277">
      <c r="A277" s="44"/>
      <c r="C277" s="5"/>
      <c r="E277" s="19"/>
      <c r="F277" s="5"/>
      <c r="H277" s="19"/>
      <c r="Q277" s="5"/>
      <c r="R277" s="9"/>
    </row>
    <row r="278">
      <c r="A278" s="44"/>
      <c r="C278" s="5"/>
      <c r="E278" s="19"/>
      <c r="F278" s="5"/>
      <c r="H278" s="19"/>
      <c r="Q278" s="5"/>
      <c r="R278" s="9"/>
    </row>
    <row r="279">
      <c r="A279" s="44"/>
      <c r="C279" s="5"/>
      <c r="E279" s="19"/>
      <c r="F279" s="5"/>
      <c r="H279" s="19"/>
      <c r="Q279" s="5"/>
      <c r="R279" s="9"/>
    </row>
    <row r="280">
      <c r="A280" s="44"/>
      <c r="C280" s="5"/>
      <c r="E280" s="19"/>
      <c r="F280" s="5"/>
      <c r="H280" s="19"/>
      <c r="Q280" s="5"/>
      <c r="R280" s="9"/>
    </row>
    <row r="281">
      <c r="A281" s="44"/>
      <c r="C281" s="5"/>
      <c r="E281" s="19"/>
      <c r="F281" s="5"/>
      <c r="H281" s="19"/>
      <c r="Q281" s="5"/>
      <c r="R281" s="9"/>
    </row>
    <row r="282">
      <c r="A282" s="44"/>
      <c r="C282" s="5"/>
      <c r="E282" s="19"/>
      <c r="F282" s="5"/>
      <c r="H282" s="19"/>
      <c r="Q282" s="5"/>
      <c r="R282" s="9"/>
    </row>
    <row r="283">
      <c r="A283" s="44"/>
      <c r="C283" s="5"/>
      <c r="E283" s="19"/>
      <c r="F283" s="5"/>
      <c r="H283" s="19"/>
      <c r="Q283" s="5"/>
      <c r="R283" s="9"/>
    </row>
    <row r="284">
      <c r="A284" s="44"/>
      <c r="C284" s="5"/>
      <c r="E284" s="19"/>
      <c r="F284" s="5"/>
      <c r="H284" s="19"/>
      <c r="Q284" s="5"/>
      <c r="R284" s="9"/>
    </row>
    <row r="285">
      <c r="A285" s="44"/>
      <c r="C285" s="5"/>
      <c r="E285" s="19"/>
      <c r="F285" s="5"/>
      <c r="H285" s="19"/>
      <c r="Q285" s="5"/>
      <c r="R285" s="9"/>
    </row>
    <row r="286">
      <c r="A286" s="44"/>
      <c r="C286" s="5"/>
      <c r="E286" s="19"/>
      <c r="F286" s="5"/>
      <c r="H286" s="19"/>
      <c r="Q286" s="5"/>
      <c r="R286" s="9"/>
    </row>
    <row r="287">
      <c r="A287" s="44"/>
      <c r="C287" s="5"/>
      <c r="E287" s="19"/>
      <c r="F287" s="5"/>
      <c r="H287" s="19"/>
      <c r="Q287" s="5"/>
      <c r="R287" s="9"/>
    </row>
    <row r="288">
      <c r="A288" s="44"/>
      <c r="C288" s="5"/>
      <c r="E288" s="19"/>
      <c r="F288" s="5"/>
      <c r="H288" s="19"/>
      <c r="Q288" s="5"/>
      <c r="R288" s="9"/>
    </row>
    <row r="289">
      <c r="A289" s="44"/>
      <c r="C289" s="5"/>
      <c r="E289" s="19"/>
      <c r="F289" s="5"/>
      <c r="H289" s="19"/>
      <c r="Q289" s="5"/>
      <c r="R289" s="9"/>
    </row>
    <row r="290">
      <c r="A290" s="44"/>
      <c r="C290" s="5"/>
      <c r="E290" s="19"/>
      <c r="F290" s="5"/>
      <c r="H290" s="19"/>
      <c r="Q290" s="5"/>
      <c r="R290" s="9"/>
    </row>
    <row r="291">
      <c r="A291" s="44"/>
      <c r="C291" s="5"/>
      <c r="E291" s="19"/>
      <c r="F291" s="5"/>
      <c r="H291" s="19"/>
      <c r="Q291" s="5"/>
      <c r="R291" s="9"/>
    </row>
    <row r="292">
      <c r="A292" s="44"/>
      <c r="C292" s="5"/>
      <c r="E292" s="19"/>
      <c r="F292" s="5"/>
      <c r="H292" s="19"/>
      <c r="Q292" s="5"/>
      <c r="R292" s="9"/>
    </row>
    <row r="293">
      <c r="A293" s="44"/>
      <c r="C293" s="5"/>
      <c r="E293" s="19"/>
      <c r="F293" s="5"/>
      <c r="H293" s="19"/>
      <c r="Q293" s="5"/>
      <c r="R293" s="9"/>
    </row>
    <row r="294">
      <c r="A294" s="44"/>
      <c r="C294" s="5"/>
      <c r="E294" s="19"/>
      <c r="F294" s="5"/>
      <c r="H294" s="19"/>
      <c r="Q294" s="5"/>
      <c r="R294" s="9"/>
    </row>
    <row r="295">
      <c r="A295" s="44"/>
      <c r="C295" s="5"/>
      <c r="E295" s="19"/>
      <c r="F295" s="5"/>
      <c r="H295" s="19"/>
      <c r="Q295" s="5"/>
      <c r="R295" s="9"/>
    </row>
    <row r="296">
      <c r="A296" s="44"/>
      <c r="C296" s="5"/>
      <c r="E296" s="19"/>
      <c r="F296" s="5"/>
      <c r="H296" s="19"/>
      <c r="Q296" s="5"/>
      <c r="R296" s="9"/>
    </row>
    <row r="297">
      <c r="A297" s="44"/>
      <c r="C297" s="5"/>
      <c r="E297" s="19"/>
      <c r="F297" s="5"/>
      <c r="H297" s="19"/>
      <c r="Q297" s="5"/>
      <c r="R297" s="9"/>
    </row>
    <row r="298">
      <c r="A298" s="44"/>
      <c r="C298" s="5"/>
      <c r="E298" s="19"/>
      <c r="F298" s="5"/>
      <c r="H298" s="19"/>
      <c r="Q298" s="5"/>
      <c r="R298" s="9"/>
    </row>
    <row r="299">
      <c r="A299" s="44"/>
      <c r="C299" s="5"/>
      <c r="E299" s="19"/>
      <c r="F299" s="5"/>
      <c r="H299" s="19"/>
      <c r="Q299" s="5"/>
      <c r="R299" s="9"/>
    </row>
    <row r="300">
      <c r="A300" s="44"/>
      <c r="C300" s="5"/>
      <c r="E300" s="19"/>
      <c r="F300" s="5"/>
      <c r="H300" s="19"/>
      <c r="Q300" s="5"/>
      <c r="R300" s="9"/>
    </row>
    <row r="301">
      <c r="A301" s="44"/>
      <c r="C301" s="5"/>
      <c r="E301" s="19"/>
      <c r="F301" s="5"/>
      <c r="H301" s="19"/>
      <c r="Q301" s="5"/>
      <c r="R301" s="9"/>
    </row>
    <row r="302">
      <c r="A302" s="44"/>
      <c r="C302" s="5"/>
      <c r="E302" s="19"/>
      <c r="F302" s="5"/>
      <c r="H302" s="19"/>
      <c r="Q302" s="5"/>
      <c r="R302" s="9"/>
    </row>
    <row r="303">
      <c r="A303" s="44"/>
      <c r="C303" s="5"/>
      <c r="E303" s="19"/>
      <c r="F303" s="5"/>
      <c r="H303" s="19"/>
      <c r="Q303" s="5"/>
      <c r="R303" s="9"/>
    </row>
    <row r="304">
      <c r="A304" s="44"/>
      <c r="C304" s="5"/>
      <c r="E304" s="19"/>
      <c r="F304" s="5"/>
      <c r="H304" s="19"/>
      <c r="Q304" s="5"/>
      <c r="R304" s="9"/>
    </row>
    <row r="305">
      <c r="A305" s="44"/>
      <c r="C305" s="5"/>
      <c r="E305" s="19"/>
      <c r="F305" s="5"/>
      <c r="H305" s="19"/>
      <c r="Q305" s="5"/>
      <c r="R305" s="9"/>
    </row>
    <row r="306">
      <c r="A306" s="44"/>
      <c r="C306" s="5"/>
      <c r="E306" s="19"/>
      <c r="F306" s="5"/>
      <c r="H306" s="19"/>
      <c r="Q306" s="5"/>
      <c r="R306" s="9"/>
    </row>
    <row r="307">
      <c r="A307" s="44"/>
      <c r="C307" s="5"/>
      <c r="E307" s="19"/>
      <c r="F307" s="5"/>
      <c r="H307" s="19"/>
      <c r="Q307" s="5"/>
      <c r="R307" s="9"/>
    </row>
    <row r="308">
      <c r="A308" s="44"/>
      <c r="C308" s="5"/>
      <c r="E308" s="19"/>
      <c r="F308" s="5"/>
      <c r="H308" s="19"/>
      <c r="Q308" s="5"/>
      <c r="R308" s="9"/>
    </row>
    <row r="309">
      <c r="A309" s="44"/>
      <c r="C309" s="5"/>
      <c r="E309" s="19"/>
      <c r="F309" s="5"/>
      <c r="H309" s="19"/>
      <c r="Q309" s="5"/>
      <c r="R309" s="9"/>
    </row>
    <row r="310">
      <c r="A310" s="44"/>
      <c r="C310" s="5"/>
      <c r="E310" s="19"/>
      <c r="F310" s="5"/>
      <c r="H310" s="19"/>
      <c r="Q310" s="5"/>
      <c r="R310" s="9"/>
    </row>
    <row r="311">
      <c r="A311" s="44"/>
      <c r="C311" s="5"/>
      <c r="E311" s="19"/>
      <c r="F311" s="5"/>
      <c r="H311" s="19"/>
      <c r="Q311" s="5"/>
      <c r="R311" s="9"/>
    </row>
    <row r="312">
      <c r="A312" s="44"/>
      <c r="C312" s="5"/>
      <c r="E312" s="19"/>
      <c r="F312" s="5"/>
      <c r="H312" s="19"/>
      <c r="Q312" s="5"/>
      <c r="R312" s="9"/>
    </row>
    <row r="313">
      <c r="A313" s="44"/>
      <c r="C313" s="5"/>
      <c r="E313" s="19"/>
      <c r="F313" s="5"/>
      <c r="H313" s="19"/>
      <c r="Q313" s="5"/>
      <c r="R313" s="9"/>
    </row>
    <row r="314">
      <c r="A314" s="44"/>
      <c r="C314" s="5"/>
      <c r="E314" s="19"/>
      <c r="F314" s="5"/>
      <c r="H314" s="19"/>
      <c r="Q314" s="5"/>
      <c r="R314" s="9"/>
    </row>
    <row r="315">
      <c r="A315" s="44"/>
      <c r="C315" s="5"/>
      <c r="E315" s="19"/>
      <c r="F315" s="5"/>
      <c r="H315" s="19"/>
      <c r="Q315" s="5"/>
      <c r="R315" s="9"/>
    </row>
    <row r="316">
      <c r="A316" s="44"/>
      <c r="C316" s="5"/>
      <c r="E316" s="19"/>
      <c r="F316" s="5"/>
      <c r="H316" s="19"/>
      <c r="Q316" s="5"/>
      <c r="R316" s="9"/>
    </row>
    <row r="317">
      <c r="A317" s="44"/>
      <c r="C317" s="5"/>
      <c r="E317" s="19"/>
      <c r="F317" s="5"/>
      <c r="H317" s="19"/>
      <c r="Q317" s="5"/>
      <c r="R317" s="9"/>
    </row>
    <row r="318">
      <c r="A318" s="44"/>
      <c r="C318" s="5"/>
      <c r="E318" s="19"/>
      <c r="F318" s="5"/>
      <c r="H318" s="19"/>
      <c r="Q318" s="5"/>
      <c r="R318" s="9"/>
    </row>
    <row r="319">
      <c r="A319" s="44"/>
      <c r="C319" s="5"/>
      <c r="E319" s="19"/>
      <c r="F319" s="5"/>
      <c r="H319" s="19"/>
      <c r="Q319" s="5"/>
      <c r="R319" s="9"/>
    </row>
    <row r="320">
      <c r="A320" s="44"/>
      <c r="C320" s="5"/>
      <c r="E320" s="19"/>
      <c r="F320" s="5"/>
      <c r="H320" s="19"/>
      <c r="Q320" s="5"/>
      <c r="R320" s="9"/>
    </row>
    <row r="321">
      <c r="A321" s="44"/>
      <c r="C321" s="5"/>
      <c r="E321" s="19"/>
      <c r="F321" s="5"/>
      <c r="H321" s="19"/>
      <c r="Q321" s="5"/>
      <c r="R321" s="9"/>
    </row>
    <row r="322">
      <c r="A322" s="44"/>
      <c r="C322" s="5"/>
      <c r="E322" s="19"/>
      <c r="F322" s="5"/>
      <c r="H322" s="19"/>
      <c r="Q322" s="5"/>
      <c r="R322" s="9"/>
    </row>
    <row r="323">
      <c r="A323" s="44"/>
      <c r="C323" s="5"/>
      <c r="E323" s="19"/>
      <c r="F323" s="5"/>
      <c r="H323" s="19"/>
      <c r="Q323" s="5"/>
      <c r="R323" s="9"/>
    </row>
    <row r="324">
      <c r="A324" s="44"/>
      <c r="C324" s="5"/>
      <c r="E324" s="19"/>
      <c r="F324" s="5"/>
      <c r="H324" s="19"/>
      <c r="Q324" s="5"/>
      <c r="R324" s="9"/>
    </row>
    <row r="325">
      <c r="A325" s="44"/>
      <c r="C325" s="5"/>
      <c r="E325" s="19"/>
      <c r="F325" s="5"/>
      <c r="H325" s="19"/>
      <c r="Q325" s="5"/>
      <c r="R325" s="9"/>
    </row>
    <row r="326">
      <c r="A326" s="44"/>
      <c r="C326" s="5"/>
      <c r="E326" s="19"/>
      <c r="F326" s="5"/>
      <c r="H326" s="19"/>
      <c r="Q326" s="5"/>
      <c r="R326" s="9"/>
    </row>
    <row r="327">
      <c r="A327" s="44"/>
      <c r="C327" s="5"/>
      <c r="E327" s="19"/>
      <c r="F327" s="5"/>
      <c r="H327" s="19"/>
      <c r="Q327" s="5"/>
      <c r="R327" s="9"/>
    </row>
    <row r="328">
      <c r="A328" s="44"/>
      <c r="C328" s="5"/>
      <c r="E328" s="19"/>
      <c r="F328" s="5"/>
      <c r="H328" s="19"/>
      <c r="Q328" s="5"/>
      <c r="R328" s="9"/>
    </row>
    <row r="329">
      <c r="A329" s="44"/>
      <c r="C329" s="5"/>
      <c r="E329" s="19"/>
      <c r="F329" s="5"/>
      <c r="H329" s="19"/>
      <c r="Q329" s="5"/>
      <c r="R329" s="9"/>
    </row>
    <row r="330">
      <c r="A330" s="44"/>
      <c r="C330" s="5"/>
      <c r="E330" s="19"/>
      <c r="F330" s="5"/>
      <c r="H330" s="19"/>
      <c r="Q330" s="5"/>
      <c r="R330" s="9"/>
    </row>
    <row r="331">
      <c r="A331" s="44"/>
      <c r="C331" s="5"/>
      <c r="E331" s="19"/>
      <c r="F331" s="5"/>
      <c r="H331" s="19"/>
      <c r="Q331" s="5"/>
      <c r="R331" s="9"/>
    </row>
    <row r="332">
      <c r="A332" s="44"/>
      <c r="C332" s="5"/>
      <c r="E332" s="19"/>
      <c r="F332" s="5"/>
      <c r="H332" s="19"/>
      <c r="Q332" s="5"/>
      <c r="R332" s="9"/>
    </row>
    <row r="333">
      <c r="A333" s="44"/>
      <c r="C333" s="5"/>
      <c r="E333" s="19"/>
      <c r="F333" s="5"/>
      <c r="H333" s="19"/>
      <c r="Q333" s="5"/>
      <c r="R333" s="9"/>
    </row>
    <row r="334">
      <c r="A334" s="44"/>
      <c r="C334" s="5"/>
      <c r="E334" s="19"/>
      <c r="F334" s="5"/>
      <c r="H334" s="19"/>
      <c r="Q334" s="5"/>
      <c r="R334" s="9"/>
    </row>
    <row r="335">
      <c r="A335" s="44"/>
      <c r="C335" s="5"/>
      <c r="E335" s="19"/>
      <c r="F335" s="5"/>
      <c r="H335" s="19"/>
      <c r="Q335" s="5"/>
      <c r="R335" s="9"/>
    </row>
    <row r="336">
      <c r="A336" s="44"/>
      <c r="C336" s="5"/>
      <c r="E336" s="19"/>
      <c r="F336" s="5"/>
      <c r="H336" s="19"/>
      <c r="Q336" s="5"/>
      <c r="R336" s="9"/>
    </row>
    <row r="337">
      <c r="A337" s="44"/>
      <c r="C337" s="5"/>
      <c r="E337" s="19"/>
      <c r="F337" s="5"/>
      <c r="H337" s="19"/>
      <c r="Q337" s="5"/>
      <c r="R337" s="9"/>
    </row>
    <row r="338">
      <c r="A338" s="44"/>
      <c r="C338" s="5"/>
      <c r="E338" s="19"/>
      <c r="F338" s="5"/>
      <c r="H338" s="19"/>
      <c r="Q338" s="5"/>
      <c r="R338" s="9"/>
    </row>
    <row r="339">
      <c r="A339" s="44"/>
      <c r="C339" s="5"/>
      <c r="E339" s="19"/>
      <c r="F339" s="5"/>
      <c r="H339" s="19"/>
      <c r="Q339" s="5"/>
      <c r="R339" s="9"/>
    </row>
    <row r="340">
      <c r="A340" s="44"/>
      <c r="C340" s="5"/>
      <c r="E340" s="19"/>
      <c r="F340" s="5"/>
      <c r="H340" s="19"/>
      <c r="Q340" s="5"/>
      <c r="R340" s="9"/>
    </row>
    <row r="341">
      <c r="A341" s="44"/>
      <c r="C341" s="5"/>
      <c r="E341" s="19"/>
      <c r="F341" s="5"/>
      <c r="H341" s="19"/>
      <c r="Q341" s="5"/>
      <c r="R341" s="9"/>
    </row>
    <row r="342">
      <c r="A342" s="44"/>
      <c r="C342" s="5"/>
      <c r="E342" s="19"/>
      <c r="F342" s="5"/>
      <c r="H342" s="19"/>
      <c r="Q342" s="5"/>
      <c r="R342" s="9"/>
    </row>
    <row r="343">
      <c r="A343" s="44"/>
      <c r="C343" s="5"/>
      <c r="E343" s="19"/>
      <c r="F343" s="5"/>
      <c r="H343" s="19"/>
      <c r="Q343" s="5"/>
      <c r="R343" s="9"/>
    </row>
    <row r="344">
      <c r="A344" s="44"/>
      <c r="C344" s="5"/>
      <c r="E344" s="19"/>
      <c r="F344" s="5"/>
      <c r="H344" s="19"/>
      <c r="Q344" s="5"/>
      <c r="R344" s="9"/>
    </row>
    <row r="345">
      <c r="A345" s="44"/>
      <c r="C345" s="5"/>
      <c r="E345" s="19"/>
      <c r="F345" s="5"/>
      <c r="H345" s="19"/>
      <c r="Q345" s="5"/>
      <c r="R345" s="9"/>
    </row>
    <row r="346">
      <c r="A346" s="44"/>
      <c r="C346" s="5"/>
      <c r="E346" s="19"/>
      <c r="F346" s="5"/>
      <c r="H346" s="19"/>
      <c r="Q346" s="5"/>
      <c r="R346" s="9"/>
    </row>
    <row r="347">
      <c r="A347" s="44"/>
      <c r="C347" s="5"/>
      <c r="E347" s="19"/>
      <c r="F347" s="5"/>
      <c r="H347" s="19"/>
      <c r="Q347" s="5"/>
      <c r="R347" s="9"/>
    </row>
    <row r="348">
      <c r="A348" s="44"/>
      <c r="C348" s="5"/>
      <c r="E348" s="19"/>
      <c r="F348" s="5"/>
      <c r="H348" s="19"/>
      <c r="Q348" s="5"/>
      <c r="R348" s="9"/>
    </row>
    <row r="349">
      <c r="A349" s="44"/>
      <c r="C349" s="5"/>
      <c r="E349" s="19"/>
      <c r="F349" s="5"/>
      <c r="H349" s="19"/>
      <c r="Q349" s="5"/>
      <c r="R349" s="9"/>
    </row>
    <row r="350">
      <c r="A350" s="44"/>
      <c r="C350" s="5"/>
      <c r="E350" s="19"/>
      <c r="F350" s="5"/>
      <c r="H350" s="19"/>
      <c r="Q350" s="5"/>
      <c r="R350" s="9"/>
    </row>
    <row r="351">
      <c r="A351" s="44"/>
      <c r="C351" s="5"/>
      <c r="E351" s="19"/>
      <c r="F351" s="5"/>
      <c r="H351" s="19"/>
      <c r="Q351" s="5"/>
      <c r="R351" s="9"/>
    </row>
    <row r="352">
      <c r="A352" s="44"/>
      <c r="C352" s="5"/>
      <c r="E352" s="19"/>
      <c r="F352" s="5"/>
      <c r="H352" s="19"/>
      <c r="Q352" s="5"/>
      <c r="R352" s="9"/>
    </row>
    <row r="353">
      <c r="A353" s="44"/>
      <c r="C353" s="5"/>
      <c r="E353" s="19"/>
      <c r="F353" s="5"/>
      <c r="H353" s="19"/>
      <c r="Q353" s="5"/>
      <c r="R353" s="9"/>
    </row>
    <row r="354">
      <c r="A354" s="44"/>
      <c r="C354" s="5"/>
      <c r="E354" s="19"/>
      <c r="F354" s="5"/>
      <c r="H354" s="19"/>
      <c r="Q354" s="5"/>
      <c r="R354" s="9"/>
    </row>
    <row r="355">
      <c r="A355" s="44"/>
      <c r="C355" s="5"/>
      <c r="E355" s="19"/>
      <c r="F355" s="5"/>
      <c r="H355" s="19"/>
      <c r="Q355" s="5"/>
      <c r="R355" s="9"/>
    </row>
    <row r="356">
      <c r="A356" s="44"/>
      <c r="C356" s="5"/>
      <c r="E356" s="19"/>
      <c r="F356" s="5"/>
      <c r="H356" s="19"/>
      <c r="Q356" s="5"/>
      <c r="R356" s="9"/>
    </row>
    <row r="357">
      <c r="A357" s="44"/>
      <c r="C357" s="5"/>
      <c r="E357" s="19"/>
      <c r="F357" s="5"/>
      <c r="H357" s="19"/>
      <c r="Q357" s="5"/>
      <c r="R357" s="9"/>
    </row>
    <row r="358">
      <c r="A358" s="44"/>
      <c r="C358" s="5"/>
      <c r="E358" s="19"/>
      <c r="F358" s="5"/>
      <c r="H358" s="19"/>
      <c r="Q358" s="5"/>
      <c r="R358" s="9"/>
    </row>
    <row r="359">
      <c r="A359" s="44"/>
      <c r="C359" s="5"/>
      <c r="E359" s="19"/>
      <c r="F359" s="5"/>
      <c r="H359" s="19"/>
      <c r="Q359" s="5"/>
      <c r="R359" s="9"/>
    </row>
    <row r="360">
      <c r="A360" s="44"/>
      <c r="C360" s="5"/>
      <c r="E360" s="19"/>
      <c r="F360" s="5"/>
      <c r="H360" s="19"/>
      <c r="Q360" s="5"/>
      <c r="R360" s="9"/>
    </row>
    <row r="361">
      <c r="A361" s="44"/>
      <c r="C361" s="5"/>
      <c r="E361" s="19"/>
      <c r="F361" s="5"/>
      <c r="H361" s="19"/>
      <c r="Q361" s="5"/>
      <c r="R361" s="9"/>
    </row>
    <row r="362">
      <c r="A362" s="44"/>
      <c r="C362" s="5"/>
      <c r="E362" s="19"/>
      <c r="F362" s="5"/>
      <c r="H362" s="19"/>
      <c r="Q362" s="5"/>
      <c r="R362" s="9"/>
    </row>
    <row r="363">
      <c r="A363" s="44"/>
      <c r="C363" s="5"/>
      <c r="E363" s="19"/>
      <c r="F363" s="5"/>
      <c r="H363" s="19"/>
      <c r="Q363" s="5"/>
      <c r="R363" s="9"/>
    </row>
    <row r="364">
      <c r="A364" s="44"/>
      <c r="C364" s="5"/>
      <c r="E364" s="19"/>
      <c r="F364" s="5"/>
      <c r="H364" s="19"/>
      <c r="Q364" s="5"/>
      <c r="R364" s="9"/>
    </row>
    <row r="365">
      <c r="A365" s="44"/>
      <c r="C365" s="5"/>
      <c r="E365" s="19"/>
      <c r="F365" s="5"/>
      <c r="H365" s="19"/>
      <c r="Q365" s="5"/>
      <c r="R365" s="9"/>
    </row>
    <row r="366">
      <c r="A366" s="44"/>
      <c r="C366" s="5"/>
      <c r="E366" s="19"/>
      <c r="F366" s="5"/>
      <c r="H366" s="19"/>
      <c r="Q366" s="5"/>
      <c r="R366" s="9"/>
    </row>
    <row r="367">
      <c r="A367" s="44"/>
      <c r="C367" s="5"/>
      <c r="E367" s="19"/>
      <c r="F367" s="5"/>
      <c r="H367" s="19"/>
      <c r="Q367" s="5"/>
      <c r="R367" s="9"/>
    </row>
    <row r="368">
      <c r="A368" s="44"/>
      <c r="C368" s="5"/>
      <c r="E368" s="19"/>
      <c r="F368" s="5"/>
      <c r="H368" s="19"/>
      <c r="Q368" s="5"/>
      <c r="R368" s="9"/>
    </row>
    <row r="369">
      <c r="A369" s="44"/>
      <c r="C369" s="5"/>
      <c r="E369" s="19"/>
      <c r="F369" s="5"/>
      <c r="H369" s="19"/>
      <c r="Q369" s="5"/>
      <c r="R369" s="9"/>
    </row>
    <row r="370">
      <c r="A370" s="44"/>
      <c r="C370" s="5"/>
      <c r="E370" s="19"/>
      <c r="F370" s="5"/>
      <c r="H370" s="19"/>
      <c r="Q370" s="5"/>
      <c r="R370" s="9"/>
    </row>
    <row r="371">
      <c r="A371" s="44"/>
      <c r="C371" s="5"/>
      <c r="E371" s="19"/>
      <c r="F371" s="5"/>
      <c r="H371" s="19"/>
      <c r="Q371" s="5"/>
      <c r="R371" s="9"/>
    </row>
    <row r="372">
      <c r="A372" s="44"/>
      <c r="C372" s="5"/>
      <c r="E372" s="19"/>
      <c r="F372" s="5"/>
      <c r="H372" s="19"/>
      <c r="Q372" s="5"/>
      <c r="R372" s="9"/>
    </row>
    <row r="373">
      <c r="A373" s="44"/>
      <c r="C373" s="5"/>
      <c r="E373" s="19"/>
      <c r="F373" s="5"/>
      <c r="H373" s="19"/>
      <c r="Q373" s="5"/>
      <c r="R373" s="9"/>
    </row>
    <row r="374">
      <c r="A374" s="44"/>
      <c r="C374" s="5"/>
      <c r="E374" s="19"/>
      <c r="F374" s="5"/>
      <c r="H374" s="19"/>
      <c r="Q374" s="5"/>
      <c r="R374" s="9"/>
    </row>
    <row r="375">
      <c r="A375" s="44"/>
      <c r="C375" s="5"/>
      <c r="E375" s="19"/>
      <c r="F375" s="5"/>
      <c r="H375" s="19"/>
      <c r="Q375" s="5"/>
      <c r="R375" s="9"/>
    </row>
    <row r="376">
      <c r="A376" s="44"/>
      <c r="C376" s="5"/>
      <c r="E376" s="19"/>
      <c r="F376" s="5"/>
      <c r="H376" s="19"/>
      <c r="Q376" s="5"/>
      <c r="R376" s="9"/>
    </row>
    <row r="377">
      <c r="A377" s="44"/>
      <c r="C377" s="5"/>
      <c r="E377" s="19"/>
      <c r="F377" s="5"/>
      <c r="H377" s="19"/>
      <c r="Q377" s="5"/>
      <c r="R377" s="9"/>
    </row>
    <row r="378">
      <c r="A378" s="44"/>
      <c r="C378" s="5"/>
      <c r="E378" s="19"/>
      <c r="F378" s="5"/>
      <c r="H378" s="19"/>
      <c r="Q378" s="5"/>
      <c r="R378" s="9"/>
    </row>
    <row r="379">
      <c r="A379" s="44"/>
      <c r="C379" s="5"/>
      <c r="E379" s="19"/>
      <c r="F379" s="5"/>
      <c r="H379" s="19"/>
      <c r="Q379" s="5"/>
      <c r="R379" s="9"/>
    </row>
    <row r="380">
      <c r="A380" s="44"/>
      <c r="C380" s="5"/>
      <c r="E380" s="19"/>
      <c r="F380" s="5"/>
      <c r="H380" s="19"/>
      <c r="Q380" s="5"/>
      <c r="R380" s="9"/>
    </row>
    <row r="381">
      <c r="A381" s="44"/>
      <c r="C381" s="5"/>
      <c r="E381" s="19"/>
      <c r="F381" s="5"/>
      <c r="H381" s="19"/>
      <c r="Q381" s="5"/>
      <c r="R381" s="9"/>
    </row>
    <row r="382">
      <c r="A382" s="44"/>
      <c r="C382" s="5"/>
      <c r="E382" s="19"/>
      <c r="F382" s="5"/>
      <c r="H382" s="19"/>
      <c r="Q382" s="5"/>
      <c r="R382" s="9"/>
    </row>
    <row r="383">
      <c r="A383" s="44"/>
      <c r="C383" s="5"/>
      <c r="E383" s="19"/>
      <c r="F383" s="5"/>
      <c r="H383" s="19"/>
      <c r="Q383" s="5"/>
      <c r="R383" s="9"/>
    </row>
    <row r="384">
      <c r="A384" s="44"/>
      <c r="C384" s="5"/>
      <c r="E384" s="19"/>
      <c r="F384" s="5"/>
      <c r="H384" s="19"/>
      <c r="Q384" s="5"/>
      <c r="R384" s="9"/>
    </row>
    <row r="385">
      <c r="A385" s="44"/>
      <c r="C385" s="5"/>
      <c r="E385" s="19"/>
      <c r="F385" s="5"/>
      <c r="H385" s="19"/>
      <c r="Q385" s="5"/>
      <c r="R385" s="9"/>
    </row>
    <row r="386">
      <c r="A386" s="44"/>
      <c r="C386" s="5"/>
      <c r="E386" s="19"/>
      <c r="F386" s="5"/>
      <c r="H386" s="19"/>
      <c r="Q386" s="5"/>
      <c r="R386" s="9"/>
    </row>
    <row r="387">
      <c r="A387" s="44"/>
      <c r="C387" s="5"/>
      <c r="E387" s="19"/>
      <c r="F387" s="5"/>
      <c r="H387" s="19"/>
      <c r="Q387" s="5"/>
      <c r="R387" s="9"/>
    </row>
    <row r="388">
      <c r="A388" s="44"/>
      <c r="C388" s="5"/>
      <c r="E388" s="19"/>
      <c r="F388" s="5"/>
      <c r="H388" s="19"/>
      <c r="Q388" s="5"/>
      <c r="R388" s="9"/>
    </row>
    <row r="389">
      <c r="A389" s="44"/>
      <c r="C389" s="5"/>
      <c r="E389" s="19"/>
      <c r="F389" s="5"/>
      <c r="H389" s="19"/>
      <c r="Q389" s="5"/>
      <c r="R389" s="9"/>
    </row>
    <row r="390">
      <c r="A390" s="44"/>
      <c r="C390" s="5"/>
      <c r="E390" s="19"/>
      <c r="F390" s="5"/>
      <c r="H390" s="19"/>
      <c r="Q390" s="5"/>
      <c r="R390" s="9"/>
    </row>
    <row r="391">
      <c r="A391" s="44"/>
      <c r="C391" s="5"/>
      <c r="E391" s="19"/>
      <c r="F391" s="5"/>
      <c r="H391" s="19"/>
      <c r="Q391" s="5"/>
      <c r="R391" s="9"/>
    </row>
    <row r="392">
      <c r="A392" s="44"/>
      <c r="C392" s="5"/>
      <c r="E392" s="19"/>
      <c r="F392" s="5"/>
      <c r="H392" s="19"/>
      <c r="Q392" s="5"/>
      <c r="R392" s="9"/>
    </row>
    <row r="393">
      <c r="A393" s="44"/>
      <c r="C393" s="5"/>
      <c r="E393" s="19"/>
      <c r="F393" s="5"/>
      <c r="H393" s="19"/>
      <c r="Q393" s="5"/>
      <c r="R393" s="9"/>
    </row>
    <row r="394">
      <c r="A394" s="44"/>
      <c r="C394" s="5"/>
      <c r="E394" s="19"/>
      <c r="F394" s="5"/>
      <c r="H394" s="19"/>
      <c r="Q394" s="5"/>
      <c r="R394" s="9"/>
    </row>
    <row r="395">
      <c r="A395" s="44"/>
      <c r="C395" s="5"/>
      <c r="E395" s="19"/>
      <c r="F395" s="5"/>
      <c r="H395" s="19"/>
      <c r="Q395" s="5"/>
      <c r="R395" s="9"/>
    </row>
    <row r="396">
      <c r="A396" s="44"/>
      <c r="C396" s="5"/>
      <c r="E396" s="19"/>
      <c r="F396" s="5"/>
      <c r="H396" s="19"/>
      <c r="Q396" s="5"/>
      <c r="R396" s="9"/>
    </row>
    <row r="397">
      <c r="A397" s="44"/>
      <c r="C397" s="5"/>
      <c r="E397" s="19"/>
      <c r="F397" s="5"/>
      <c r="H397" s="19"/>
      <c r="Q397" s="5"/>
      <c r="R397" s="9"/>
    </row>
    <row r="398">
      <c r="A398" s="44"/>
      <c r="C398" s="5"/>
      <c r="E398" s="19"/>
      <c r="F398" s="5"/>
      <c r="H398" s="19"/>
      <c r="Q398" s="5"/>
      <c r="R398" s="9"/>
    </row>
    <row r="399">
      <c r="A399" s="44"/>
      <c r="C399" s="5"/>
      <c r="E399" s="19"/>
      <c r="F399" s="5"/>
      <c r="H399" s="19"/>
      <c r="Q399" s="5"/>
      <c r="R399" s="9"/>
    </row>
    <row r="400">
      <c r="A400" s="44"/>
      <c r="C400" s="5"/>
      <c r="E400" s="19"/>
      <c r="F400" s="5"/>
      <c r="H400" s="19"/>
      <c r="Q400" s="5"/>
      <c r="R400" s="9"/>
    </row>
    <row r="401">
      <c r="A401" s="44"/>
      <c r="C401" s="5"/>
      <c r="E401" s="19"/>
      <c r="F401" s="5"/>
      <c r="H401" s="19"/>
      <c r="Q401" s="5"/>
      <c r="R401" s="9"/>
    </row>
    <row r="402">
      <c r="A402" s="44"/>
      <c r="C402" s="5"/>
      <c r="E402" s="19"/>
      <c r="F402" s="5"/>
      <c r="H402" s="19"/>
      <c r="Q402" s="5"/>
      <c r="R402" s="9"/>
    </row>
    <row r="403">
      <c r="A403" s="44"/>
      <c r="C403" s="5"/>
      <c r="E403" s="19"/>
      <c r="F403" s="5"/>
      <c r="H403" s="19"/>
      <c r="Q403" s="5"/>
      <c r="R403" s="9"/>
    </row>
    <row r="404">
      <c r="A404" s="44"/>
      <c r="C404" s="5"/>
      <c r="E404" s="19"/>
      <c r="F404" s="5"/>
      <c r="H404" s="19"/>
      <c r="Q404" s="5"/>
      <c r="R404" s="9"/>
    </row>
    <row r="405">
      <c r="A405" s="44"/>
      <c r="C405" s="5"/>
      <c r="E405" s="19"/>
      <c r="F405" s="5"/>
      <c r="H405" s="19"/>
      <c r="Q405" s="5"/>
      <c r="R405" s="9"/>
    </row>
    <row r="406">
      <c r="A406" s="44"/>
      <c r="C406" s="5"/>
      <c r="E406" s="19"/>
      <c r="F406" s="5"/>
      <c r="H406" s="19"/>
      <c r="Q406" s="5"/>
      <c r="R406" s="9"/>
    </row>
    <row r="407">
      <c r="A407" s="44"/>
      <c r="C407" s="5"/>
      <c r="E407" s="19"/>
      <c r="F407" s="5"/>
      <c r="H407" s="19"/>
      <c r="Q407" s="5"/>
      <c r="R407" s="9"/>
    </row>
    <row r="408">
      <c r="A408" s="44"/>
      <c r="C408" s="5"/>
      <c r="E408" s="19"/>
      <c r="F408" s="5"/>
      <c r="H408" s="19"/>
      <c r="Q408" s="5"/>
      <c r="R408" s="9"/>
    </row>
    <row r="409">
      <c r="A409" s="44"/>
      <c r="C409" s="5"/>
      <c r="E409" s="19"/>
      <c r="F409" s="5"/>
      <c r="H409" s="19"/>
      <c r="Q409" s="5"/>
      <c r="R409" s="9"/>
    </row>
    <row r="410">
      <c r="A410" s="44"/>
      <c r="C410" s="5"/>
      <c r="E410" s="19"/>
      <c r="F410" s="5"/>
      <c r="H410" s="19"/>
      <c r="Q410" s="5"/>
      <c r="R410" s="9"/>
    </row>
    <row r="411">
      <c r="A411" s="44"/>
      <c r="C411" s="5"/>
      <c r="E411" s="19"/>
      <c r="F411" s="5"/>
      <c r="H411" s="19"/>
      <c r="Q411" s="5"/>
      <c r="R411" s="9"/>
    </row>
    <row r="412">
      <c r="A412" s="44"/>
      <c r="C412" s="5"/>
      <c r="E412" s="19"/>
      <c r="F412" s="5"/>
      <c r="H412" s="19"/>
      <c r="Q412" s="5"/>
      <c r="R412" s="9"/>
    </row>
    <row r="413">
      <c r="A413" s="44"/>
      <c r="C413" s="5"/>
      <c r="E413" s="19"/>
      <c r="F413" s="5"/>
      <c r="H413" s="19"/>
      <c r="Q413" s="5"/>
      <c r="R413" s="9"/>
    </row>
    <row r="414">
      <c r="A414" s="44"/>
      <c r="C414" s="5"/>
      <c r="E414" s="19"/>
      <c r="F414" s="5"/>
      <c r="H414" s="19"/>
      <c r="Q414" s="5"/>
      <c r="R414" s="9"/>
    </row>
    <row r="415">
      <c r="A415" s="44"/>
      <c r="C415" s="5"/>
      <c r="E415" s="19"/>
      <c r="F415" s="5"/>
      <c r="H415" s="19"/>
      <c r="Q415" s="5"/>
      <c r="R415" s="9"/>
    </row>
    <row r="416">
      <c r="A416" s="44"/>
      <c r="C416" s="5"/>
      <c r="E416" s="19"/>
      <c r="F416" s="5"/>
      <c r="H416" s="19"/>
      <c r="Q416" s="5"/>
      <c r="R416" s="9"/>
    </row>
    <row r="417">
      <c r="A417" s="44"/>
      <c r="C417" s="5"/>
      <c r="E417" s="19"/>
      <c r="F417" s="5"/>
      <c r="H417" s="19"/>
      <c r="Q417" s="5"/>
      <c r="R417" s="9"/>
    </row>
    <row r="418">
      <c r="A418" s="44"/>
      <c r="C418" s="5"/>
      <c r="E418" s="19"/>
      <c r="F418" s="5"/>
      <c r="H418" s="19"/>
      <c r="Q418" s="5"/>
      <c r="R418" s="9"/>
    </row>
    <row r="419">
      <c r="A419" s="44"/>
      <c r="C419" s="5"/>
      <c r="E419" s="19"/>
      <c r="F419" s="5"/>
      <c r="H419" s="19"/>
      <c r="Q419" s="5"/>
      <c r="R419" s="9"/>
    </row>
    <row r="420">
      <c r="A420" s="44"/>
      <c r="C420" s="5"/>
      <c r="E420" s="19"/>
      <c r="F420" s="5"/>
      <c r="H420" s="19"/>
      <c r="Q420" s="5"/>
      <c r="R420" s="9"/>
    </row>
    <row r="421">
      <c r="A421" s="44"/>
      <c r="C421" s="5"/>
      <c r="E421" s="19"/>
      <c r="F421" s="5"/>
      <c r="H421" s="19"/>
      <c r="Q421" s="5"/>
      <c r="R421" s="9"/>
    </row>
    <row r="422">
      <c r="A422" s="44"/>
      <c r="C422" s="5"/>
      <c r="E422" s="19"/>
      <c r="F422" s="5"/>
      <c r="H422" s="19"/>
      <c r="Q422" s="5"/>
      <c r="R422" s="9"/>
    </row>
    <row r="423">
      <c r="A423" s="44"/>
      <c r="C423" s="5"/>
      <c r="E423" s="19"/>
      <c r="F423" s="5"/>
      <c r="H423" s="19"/>
      <c r="Q423" s="5"/>
      <c r="R423" s="9"/>
    </row>
    <row r="424">
      <c r="A424" s="44"/>
      <c r="C424" s="5"/>
      <c r="E424" s="19"/>
      <c r="F424" s="5"/>
      <c r="H424" s="19"/>
      <c r="Q424" s="5"/>
      <c r="R424" s="9"/>
    </row>
    <row r="425">
      <c r="A425" s="44"/>
      <c r="C425" s="5"/>
      <c r="E425" s="19"/>
      <c r="F425" s="5"/>
      <c r="H425" s="19"/>
      <c r="Q425" s="5"/>
      <c r="R425" s="9"/>
    </row>
    <row r="426">
      <c r="A426" s="44"/>
      <c r="C426" s="5"/>
      <c r="E426" s="19"/>
      <c r="F426" s="5"/>
      <c r="H426" s="19"/>
      <c r="Q426" s="5"/>
      <c r="R426" s="9"/>
    </row>
    <row r="427">
      <c r="A427" s="44"/>
      <c r="C427" s="5"/>
      <c r="E427" s="19"/>
      <c r="F427" s="5"/>
      <c r="H427" s="19"/>
      <c r="Q427" s="5"/>
      <c r="R427" s="9"/>
    </row>
    <row r="428">
      <c r="A428" s="44"/>
      <c r="C428" s="5"/>
      <c r="E428" s="19"/>
      <c r="F428" s="5"/>
      <c r="H428" s="19"/>
      <c r="Q428" s="5"/>
      <c r="R428" s="9"/>
    </row>
    <row r="429">
      <c r="A429" s="44"/>
      <c r="C429" s="5"/>
      <c r="E429" s="19"/>
      <c r="F429" s="5"/>
      <c r="H429" s="19"/>
      <c r="Q429" s="5"/>
      <c r="R429" s="9"/>
    </row>
    <row r="430">
      <c r="A430" s="44"/>
      <c r="C430" s="5"/>
      <c r="E430" s="19"/>
      <c r="F430" s="5"/>
      <c r="H430" s="19"/>
      <c r="Q430" s="5"/>
      <c r="R430" s="9"/>
    </row>
    <row r="431">
      <c r="A431" s="44"/>
      <c r="C431" s="5"/>
      <c r="E431" s="19"/>
      <c r="F431" s="5"/>
      <c r="H431" s="19"/>
      <c r="Q431" s="5"/>
      <c r="R431" s="9"/>
    </row>
    <row r="432">
      <c r="A432" s="44"/>
      <c r="C432" s="5"/>
      <c r="E432" s="19"/>
      <c r="F432" s="5"/>
      <c r="H432" s="19"/>
      <c r="Q432" s="5"/>
      <c r="R432" s="9"/>
    </row>
    <row r="433">
      <c r="A433" s="44"/>
      <c r="C433" s="5"/>
      <c r="E433" s="19"/>
      <c r="F433" s="5"/>
      <c r="H433" s="19"/>
      <c r="Q433" s="5"/>
      <c r="R433" s="9"/>
    </row>
    <row r="434">
      <c r="A434" s="44"/>
      <c r="C434" s="5"/>
      <c r="E434" s="19"/>
      <c r="F434" s="5"/>
      <c r="H434" s="19"/>
      <c r="Q434" s="5"/>
      <c r="R434" s="9"/>
    </row>
    <row r="435">
      <c r="A435" s="44"/>
      <c r="C435" s="5"/>
      <c r="E435" s="19"/>
      <c r="F435" s="5"/>
      <c r="H435" s="19"/>
      <c r="Q435" s="5"/>
      <c r="R435" s="9"/>
    </row>
    <row r="436">
      <c r="A436" s="44"/>
      <c r="C436" s="5"/>
      <c r="E436" s="19"/>
      <c r="F436" s="5"/>
      <c r="H436" s="19"/>
      <c r="Q436" s="5"/>
      <c r="R436" s="9"/>
    </row>
    <row r="437">
      <c r="A437" s="44"/>
      <c r="C437" s="5"/>
      <c r="E437" s="19"/>
      <c r="F437" s="5"/>
      <c r="H437" s="19"/>
      <c r="Q437" s="5"/>
      <c r="R437" s="9"/>
    </row>
    <row r="438">
      <c r="A438" s="44"/>
      <c r="C438" s="5"/>
      <c r="E438" s="19"/>
      <c r="F438" s="5"/>
      <c r="H438" s="19"/>
      <c r="Q438" s="5"/>
      <c r="R438" s="9"/>
    </row>
    <row r="439">
      <c r="A439" s="44"/>
      <c r="C439" s="5"/>
      <c r="E439" s="19"/>
      <c r="F439" s="5"/>
      <c r="H439" s="19"/>
      <c r="Q439" s="5"/>
      <c r="R439" s="9"/>
    </row>
    <row r="440">
      <c r="A440" s="44"/>
      <c r="C440" s="5"/>
      <c r="E440" s="19"/>
      <c r="F440" s="5"/>
      <c r="H440" s="19"/>
      <c r="Q440" s="5"/>
      <c r="R440" s="9"/>
    </row>
    <row r="441">
      <c r="A441" s="44"/>
      <c r="C441" s="5"/>
      <c r="E441" s="19"/>
      <c r="F441" s="5"/>
      <c r="H441" s="19"/>
      <c r="Q441" s="5"/>
      <c r="R441" s="9"/>
    </row>
    <row r="442">
      <c r="A442" s="44"/>
      <c r="C442" s="5"/>
      <c r="E442" s="19"/>
      <c r="F442" s="5"/>
      <c r="H442" s="19"/>
      <c r="Q442" s="5"/>
      <c r="R442" s="9"/>
    </row>
    <row r="443">
      <c r="A443" s="44"/>
      <c r="C443" s="5"/>
      <c r="E443" s="19"/>
      <c r="F443" s="5"/>
      <c r="H443" s="19"/>
      <c r="Q443" s="5"/>
      <c r="R443" s="9"/>
    </row>
    <row r="444">
      <c r="A444" s="44"/>
      <c r="C444" s="5"/>
      <c r="E444" s="19"/>
      <c r="F444" s="5"/>
      <c r="H444" s="19"/>
      <c r="Q444" s="5"/>
      <c r="R444" s="9"/>
    </row>
    <row r="445">
      <c r="A445" s="44"/>
      <c r="C445" s="5"/>
      <c r="E445" s="19"/>
      <c r="F445" s="5"/>
      <c r="H445" s="19"/>
      <c r="Q445" s="5"/>
      <c r="R445" s="9"/>
    </row>
    <row r="446">
      <c r="A446" s="44"/>
      <c r="C446" s="5"/>
      <c r="E446" s="19"/>
      <c r="F446" s="5"/>
      <c r="H446" s="19"/>
      <c r="Q446" s="5"/>
      <c r="R446" s="9"/>
    </row>
    <row r="447">
      <c r="A447" s="44"/>
      <c r="C447" s="5"/>
      <c r="E447" s="19"/>
      <c r="F447" s="5"/>
      <c r="H447" s="19"/>
      <c r="Q447" s="5"/>
      <c r="R447" s="9"/>
    </row>
    <row r="448">
      <c r="A448" s="44"/>
      <c r="C448" s="5"/>
      <c r="E448" s="19"/>
      <c r="F448" s="5"/>
      <c r="H448" s="19"/>
      <c r="Q448" s="5"/>
      <c r="R448" s="9"/>
    </row>
    <row r="449">
      <c r="A449" s="44"/>
      <c r="C449" s="5"/>
      <c r="E449" s="19"/>
      <c r="F449" s="5"/>
      <c r="H449" s="19"/>
      <c r="Q449" s="5"/>
      <c r="R449" s="9"/>
    </row>
    <row r="450">
      <c r="A450" s="44"/>
      <c r="C450" s="5"/>
      <c r="E450" s="19"/>
      <c r="F450" s="5"/>
      <c r="H450" s="19"/>
      <c r="Q450" s="5"/>
      <c r="R450" s="9"/>
    </row>
    <row r="451">
      <c r="A451" s="44"/>
      <c r="C451" s="5"/>
      <c r="E451" s="19"/>
      <c r="F451" s="5"/>
      <c r="H451" s="19"/>
      <c r="Q451" s="5"/>
      <c r="R451" s="9"/>
    </row>
    <row r="452">
      <c r="A452" s="44"/>
      <c r="C452" s="5"/>
      <c r="E452" s="19"/>
      <c r="F452" s="5"/>
      <c r="H452" s="19"/>
      <c r="Q452" s="5"/>
      <c r="R452" s="9"/>
    </row>
    <row r="453">
      <c r="A453" s="44"/>
      <c r="C453" s="5"/>
      <c r="E453" s="19"/>
      <c r="F453" s="5"/>
      <c r="H453" s="19"/>
      <c r="Q453" s="5"/>
      <c r="R453" s="9"/>
    </row>
    <row r="454">
      <c r="A454" s="44"/>
      <c r="C454" s="5"/>
      <c r="E454" s="19"/>
      <c r="F454" s="5"/>
      <c r="H454" s="19"/>
      <c r="Q454" s="5"/>
      <c r="R454" s="9"/>
    </row>
    <row r="455">
      <c r="A455" s="44"/>
      <c r="C455" s="5"/>
      <c r="E455" s="19"/>
      <c r="F455" s="5"/>
      <c r="H455" s="19"/>
      <c r="Q455" s="5"/>
      <c r="R455" s="9"/>
    </row>
    <row r="456">
      <c r="A456" s="44"/>
      <c r="C456" s="5"/>
      <c r="E456" s="19"/>
      <c r="F456" s="5"/>
      <c r="H456" s="19"/>
      <c r="Q456" s="5"/>
      <c r="R456" s="9"/>
    </row>
    <row r="457">
      <c r="A457" s="44"/>
      <c r="C457" s="5"/>
      <c r="E457" s="19"/>
      <c r="F457" s="5"/>
      <c r="H457" s="19"/>
      <c r="Q457" s="5"/>
      <c r="R457" s="9"/>
    </row>
    <row r="458">
      <c r="A458" s="44"/>
      <c r="C458" s="5"/>
      <c r="E458" s="19"/>
      <c r="F458" s="5"/>
      <c r="H458" s="19"/>
      <c r="Q458" s="5"/>
      <c r="R458" s="9"/>
    </row>
    <row r="459">
      <c r="A459" s="44"/>
      <c r="C459" s="5"/>
      <c r="E459" s="19"/>
      <c r="F459" s="5"/>
      <c r="H459" s="19"/>
      <c r="Q459" s="5"/>
      <c r="R459" s="9"/>
    </row>
    <row r="460">
      <c r="A460" s="44"/>
      <c r="C460" s="5"/>
      <c r="E460" s="19"/>
      <c r="F460" s="5"/>
      <c r="H460" s="19"/>
      <c r="Q460" s="5"/>
      <c r="R460" s="9"/>
    </row>
    <row r="461">
      <c r="A461" s="44"/>
      <c r="C461" s="5"/>
      <c r="E461" s="19"/>
      <c r="F461" s="5"/>
      <c r="H461" s="19"/>
      <c r="Q461" s="5"/>
      <c r="R461" s="9"/>
    </row>
    <row r="462">
      <c r="A462" s="44"/>
      <c r="C462" s="5"/>
      <c r="E462" s="19"/>
      <c r="F462" s="5"/>
      <c r="H462" s="19"/>
      <c r="Q462" s="5"/>
      <c r="R462" s="9"/>
    </row>
    <row r="463">
      <c r="A463" s="44"/>
      <c r="C463" s="5"/>
      <c r="E463" s="19"/>
      <c r="F463" s="5"/>
      <c r="H463" s="19"/>
      <c r="Q463" s="5"/>
      <c r="R463" s="9"/>
    </row>
    <row r="464">
      <c r="A464" s="44"/>
      <c r="C464" s="5"/>
      <c r="E464" s="19"/>
      <c r="F464" s="5"/>
      <c r="H464" s="19"/>
      <c r="Q464" s="5"/>
      <c r="R464" s="9"/>
    </row>
    <row r="465">
      <c r="A465" s="44"/>
      <c r="C465" s="5"/>
      <c r="E465" s="19"/>
      <c r="F465" s="5"/>
      <c r="H465" s="19"/>
      <c r="Q465" s="5"/>
      <c r="R465" s="9"/>
    </row>
    <row r="466">
      <c r="A466" s="44"/>
      <c r="C466" s="5"/>
      <c r="E466" s="19"/>
      <c r="F466" s="5"/>
      <c r="H466" s="19"/>
      <c r="Q466" s="5"/>
      <c r="R466" s="9"/>
    </row>
    <row r="467">
      <c r="A467" s="44"/>
      <c r="C467" s="5"/>
      <c r="E467" s="19"/>
      <c r="F467" s="5"/>
      <c r="H467" s="19"/>
      <c r="Q467" s="5"/>
      <c r="R467" s="9"/>
    </row>
    <row r="468">
      <c r="A468" s="44"/>
      <c r="C468" s="5"/>
      <c r="E468" s="19"/>
      <c r="F468" s="5"/>
      <c r="H468" s="19"/>
      <c r="Q468" s="5"/>
      <c r="R468" s="9"/>
    </row>
    <row r="469">
      <c r="A469" s="44"/>
      <c r="C469" s="5"/>
      <c r="E469" s="19"/>
      <c r="F469" s="5"/>
      <c r="H469" s="19"/>
      <c r="Q469" s="5"/>
      <c r="R469" s="9"/>
    </row>
    <row r="470">
      <c r="A470" s="44"/>
      <c r="C470" s="5"/>
      <c r="E470" s="19"/>
      <c r="F470" s="5"/>
      <c r="H470" s="19"/>
      <c r="Q470" s="5"/>
      <c r="R470" s="9"/>
    </row>
    <row r="471">
      <c r="A471" s="44"/>
      <c r="C471" s="5"/>
      <c r="E471" s="19"/>
      <c r="F471" s="5"/>
      <c r="H471" s="19"/>
      <c r="Q471" s="5"/>
      <c r="R471" s="9"/>
    </row>
    <row r="472">
      <c r="A472" s="44"/>
      <c r="C472" s="5"/>
      <c r="E472" s="19"/>
      <c r="F472" s="5"/>
      <c r="H472" s="19"/>
      <c r="Q472" s="5"/>
      <c r="R472" s="9"/>
    </row>
    <row r="473">
      <c r="A473" s="44"/>
      <c r="C473" s="5"/>
      <c r="E473" s="19"/>
      <c r="F473" s="5"/>
      <c r="H473" s="19"/>
      <c r="Q473" s="5"/>
      <c r="R473" s="9"/>
    </row>
    <row r="474">
      <c r="A474" s="44"/>
      <c r="C474" s="5"/>
      <c r="E474" s="19"/>
      <c r="F474" s="5"/>
      <c r="H474" s="19"/>
      <c r="Q474" s="5"/>
      <c r="R474" s="9"/>
    </row>
    <row r="475">
      <c r="A475" s="44"/>
      <c r="C475" s="5"/>
      <c r="E475" s="19"/>
      <c r="F475" s="5"/>
      <c r="H475" s="19"/>
      <c r="Q475" s="5"/>
      <c r="R475" s="9"/>
    </row>
    <row r="476">
      <c r="A476" s="44"/>
      <c r="C476" s="5"/>
      <c r="E476" s="19"/>
      <c r="F476" s="5"/>
      <c r="H476" s="19"/>
      <c r="Q476" s="5"/>
      <c r="R476" s="9"/>
    </row>
    <row r="477">
      <c r="A477" s="44"/>
      <c r="C477" s="5"/>
      <c r="E477" s="19"/>
      <c r="F477" s="5"/>
      <c r="H477" s="19"/>
      <c r="Q477" s="5"/>
      <c r="R477" s="9"/>
    </row>
    <row r="478">
      <c r="A478" s="44"/>
      <c r="C478" s="5"/>
      <c r="E478" s="19"/>
      <c r="F478" s="5"/>
      <c r="H478" s="19"/>
      <c r="Q478" s="5"/>
      <c r="R478" s="9"/>
    </row>
    <row r="479">
      <c r="A479" s="44"/>
      <c r="C479" s="5"/>
      <c r="E479" s="19"/>
      <c r="F479" s="5"/>
      <c r="H479" s="19"/>
      <c r="Q479" s="5"/>
      <c r="R479" s="9"/>
    </row>
    <row r="480">
      <c r="A480" s="44"/>
      <c r="C480" s="5"/>
      <c r="E480" s="19"/>
      <c r="F480" s="5"/>
      <c r="H480" s="19"/>
      <c r="Q480" s="5"/>
      <c r="R480" s="9"/>
    </row>
    <row r="481">
      <c r="A481" s="44"/>
      <c r="C481" s="5"/>
      <c r="E481" s="19"/>
      <c r="F481" s="5"/>
      <c r="H481" s="19"/>
      <c r="Q481" s="5"/>
      <c r="R481" s="9"/>
    </row>
    <row r="482">
      <c r="A482" s="44"/>
      <c r="C482" s="5"/>
      <c r="E482" s="19"/>
      <c r="F482" s="5"/>
      <c r="H482" s="19"/>
      <c r="Q482" s="5"/>
      <c r="R482" s="9"/>
    </row>
    <row r="483">
      <c r="A483" s="44"/>
      <c r="C483" s="5"/>
      <c r="E483" s="19"/>
      <c r="F483" s="5"/>
      <c r="H483" s="19"/>
      <c r="Q483" s="5"/>
      <c r="R483" s="9"/>
    </row>
    <row r="484">
      <c r="A484" s="44"/>
      <c r="C484" s="5"/>
      <c r="E484" s="19"/>
      <c r="F484" s="5"/>
      <c r="H484" s="19"/>
      <c r="Q484" s="5"/>
      <c r="R484" s="9"/>
    </row>
    <row r="485">
      <c r="A485" s="44"/>
      <c r="C485" s="5"/>
      <c r="E485" s="19"/>
      <c r="F485" s="5"/>
      <c r="H485" s="19"/>
      <c r="Q485" s="5"/>
      <c r="R485" s="9"/>
    </row>
    <row r="486">
      <c r="A486" s="44"/>
      <c r="C486" s="5"/>
      <c r="E486" s="19"/>
      <c r="F486" s="5"/>
      <c r="H486" s="19"/>
      <c r="Q486" s="5"/>
      <c r="R486" s="9"/>
    </row>
    <row r="487">
      <c r="A487" s="44"/>
      <c r="C487" s="5"/>
      <c r="E487" s="19"/>
      <c r="F487" s="5"/>
      <c r="H487" s="19"/>
      <c r="Q487" s="5"/>
      <c r="R487" s="9"/>
    </row>
    <row r="488">
      <c r="A488" s="44"/>
      <c r="C488" s="5"/>
      <c r="E488" s="19"/>
      <c r="F488" s="5"/>
      <c r="H488" s="19"/>
      <c r="Q488" s="5"/>
      <c r="R488" s="9"/>
    </row>
    <row r="489">
      <c r="A489" s="44"/>
      <c r="C489" s="5"/>
      <c r="E489" s="19"/>
      <c r="F489" s="5"/>
      <c r="H489" s="19"/>
      <c r="Q489" s="5"/>
      <c r="R489" s="9"/>
    </row>
    <row r="490">
      <c r="A490" s="44"/>
      <c r="C490" s="5"/>
      <c r="E490" s="19"/>
      <c r="F490" s="5"/>
      <c r="H490" s="19"/>
      <c r="Q490" s="5"/>
      <c r="R490" s="9"/>
    </row>
    <row r="491">
      <c r="A491" s="44"/>
      <c r="C491" s="5"/>
      <c r="E491" s="19"/>
      <c r="F491" s="5"/>
      <c r="H491" s="19"/>
      <c r="Q491" s="5"/>
      <c r="R491" s="9"/>
    </row>
    <row r="492">
      <c r="A492" s="44"/>
      <c r="C492" s="5"/>
      <c r="E492" s="19"/>
      <c r="F492" s="5"/>
      <c r="H492" s="19"/>
      <c r="Q492" s="5"/>
      <c r="R492" s="9"/>
    </row>
    <row r="493">
      <c r="A493" s="44"/>
      <c r="C493" s="5"/>
      <c r="E493" s="19"/>
      <c r="F493" s="5"/>
      <c r="H493" s="19"/>
      <c r="Q493" s="5"/>
      <c r="R493" s="9"/>
    </row>
    <row r="494">
      <c r="A494" s="44"/>
      <c r="C494" s="5"/>
      <c r="E494" s="19"/>
      <c r="F494" s="5"/>
      <c r="H494" s="19"/>
      <c r="Q494" s="5"/>
      <c r="R494" s="9"/>
    </row>
    <row r="495">
      <c r="A495" s="44"/>
      <c r="C495" s="5"/>
      <c r="E495" s="19"/>
      <c r="F495" s="5"/>
      <c r="H495" s="19"/>
      <c r="Q495" s="5"/>
      <c r="R495" s="9"/>
    </row>
    <row r="496">
      <c r="A496" s="44"/>
      <c r="C496" s="5"/>
      <c r="E496" s="19"/>
      <c r="F496" s="5"/>
      <c r="H496" s="19"/>
      <c r="Q496" s="5"/>
      <c r="R496" s="9"/>
    </row>
    <row r="497">
      <c r="A497" s="44"/>
      <c r="C497" s="5"/>
      <c r="E497" s="19"/>
      <c r="F497" s="5"/>
      <c r="H497" s="19"/>
      <c r="Q497" s="5"/>
      <c r="R497" s="9"/>
    </row>
    <row r="498">
      <c r="A498" s="44"/>
      <c r="C498" s="5"/>
      <c r="E498" s="19"/>
      <c r="F498" s="5"/>
      <c r="H498" s="19"/>
      <c r="Q498" s="5"/>
      <c r="R498" s="9"/>
    </row>
    <row r="499">
      <c r="A499" s="44"/>
      <c r="C499" s="5"/>
      <c r="E499" s="19"/>
      <c r="F499" s="5"/>
      <c r="H499" s="19"/>
      <c r="Q499" s="5"/>
      <c r="R499" s="9"/>
    </row>
    <row r="500">
      <c r="A500" s="44"/>
      <c r="C500" s="5"/>
      <c r="E500" s="19"/>
      <c r="F500" s="5"/>
      <c r="H500" s="19"/>
      <c r="Q500" s="5"/>
      <c r="R500" s="9"/>
    </row>
    <row r="501">
      <c r="A501" s="44"/>
      <c r="C501" s="5"/>
      <c r="E501" s="19"/>
      <c r="F501" s="5"/>
      <c r="H501" s="19"/>
      <c r="Q501" s="5"/>
      <c r="R501" s="9"/>
    </row>
    <row r="502">
      <c r="A502" s="44"/>
      <c r="C502" s="5"/>
      <c r="E502" s="19"/>
      <c r="F502" s="5"/>
      <c r="H502" s="19"/>
      <c r="Q502" s="5"/>
      <c r="R502" s="9"/>
    </row>
    <row r="503">
      <c r="A503" s="44"/>
      <c r="C503" s="5"/>
      <c r="E503" s="19"/>
      <c r="F503" s="5"/>
      <c r="H503" s="19"/>
      <c r="Q503" s="5"/>
      <c r="R503" s="9"/>
    </row>
    <row r="504">
      <c r="A504" s="44"/>
      <c r="C504" s="5"/>
      <c r="E504" s="19"/>
      <c r="F504" s="5"/>
      <c r="H504" s="19"/>
      <c r="Q504" s="5"/>
      <c r="R504" s="9"/>
    </row>
    <row r="505">
      <c r="A505" s="44"/>
      <c r="C505" s="5"/>
      <c r="E505" s="19"/>
      <c r="F505" s="5"/>
      <c r="H505" s="19"/>
      <c r="Q505" s="5"/>
      <c r="R505" s="9"/>
    </row>
    <row r="506">
      <c r="A506" s="44"/>
      <c r="C506" s="5"/>
      <c r="E506" s="19"/>
      <c r="F506" s="5"/>
      <c r="H506" s="19"/>
      <c r="Q506" s="5"/>
      <c r="R506" s="9"/>
    </row>
    <row r="507">
      <c r="A507" s="44"/>
      <c r="C507" s="5"/>
      <c r="E507" s="19"/>
      <c r="F507" s="5"/>
      <c r="H507" s="19"/>
      <c r="Q507" s="5"/>
      <c r="R507" s="9"/>
    </row>
    <row r="508">
      <c r="A508" s="44"/>
      <c r="C508" s="5"/>
      <c r="E508" s="19"/>
      <c r="F508" s="5"/>
      <c r="H508" s="19"/>
      <c r="Q508" s="5"/>
      <c r="R508" s="9"/>
    </row>
    <row r="509">
      <c r="A509" s="44"/>
      <c r="C509" s="5"/>
      <c r="E509" s="19"/>
      <c r="F509" s="5"/>
      <c r="H509" s="19"/>
      <c r="Q509" s="5"/>
      <c r="R509" s="9"/>
    </row>
    <row r="510">
      <c r="A510" s="44"/>
      <c r="C510" s="5"/>
      <c r="E510" s="19"/>
      <c r="F510" s="5"/>
      <c r="H510" s="19"/>
      <c r="Q510" s="5"/>
      <c r="R510" s="9"/>
    </row>
    <row r="511">
      <c r="A511" s="44"/>
      <c r="C511" s="5"/>
      <c r="E511" s="19"/>
      <c r="F511" s="5"/>
      <c r="H511" s="19"/>
      <c r="Q511" s="5"/>
      <c r="R511" s="9"/>
    </row>
    <row r="512">
      <c r="A512" s="44"/>
      <c r="C512" s="5"/>
      <c r="E512" s="19"/>
      <c r="F512" s="5"/>
      <c r="H512" s="19"/>
      <c r="Q512" s="5"/>
      <c r="R512" s="9"/>
    </row>
    <row r="513">
      <c r="A513" s="44"/>
      <c r="C513" s="5"/>
      <c r="E513" s="19"/>
      <c r="F513" s="5"/>
      <c r="H513" s="19"/>
      <c r="Q513" s="5"/>
      <c r="R513" s="9"/>
    </row>
    <row r="514">
      <c r="A514" s="44"/>
      <c r="C514" s="5"/>
      <c r="E514" s="19"/>
      <c r="F514" s="5"/>
      <c r="H514" s="19"/>
      <c r="Q514" s="5"/>
      <c r="R514" s="9"/>
    </row>
    <row r="515">
      <c r="A515" s="44"/>
      <c r="C515" s="5"/>
      <c r="E515" s="19"/>
      <c r="F515" s="5"/>
      <c r="H515" s="19"/>
      <c r="Q515" s="5"/>
      <c r="R515" s="9"/>
    </row>
    <row r="516">
      <c r="A516" s="44"/>
      <c r="C516" s="5"/>
      <c r="E516" s="19"/>
      <c r="F516" s="5"/>
      <c r="H516" s="19"/>
      <c r="Q516" s="5"/>
      <c r="R516" s="9"/>
    </row>
    <row r="517">
      <c r="A517" s="44"/>
      <c r="C517" s="5"/>
      <c r="E517" s="19"/>
      <c r="F517" s="5"/>
      <c r="H517" s="19"/>
      <c r="Q517" s="5"/>
      <c r="R517" s="9"/>
    </row>
    <row r="518">
      <c r="A518" s="44"/>
      <c r="C518" s="5"/>
      <c r="E518" s="19"/>
      <c r="F518" s="5"/>
      <c r="H518" s="19"/>
      <c r="Q518" s="5"/>
      <c r="R518" s="9"/>
    </row>
    <row r="519">
      <c r="A519" s="44"/>
      <c r="C519" s="5"/>
      <c r="E519" s="19"/>
      <c r="F519" s="5"/>
      <c r="H519" s="19"/>
      <c r="Q519" s="5"/>
      <c r="R519" s="9"/>
    </row>
    <row r="520">
      <c r="A520" s="44"/>
      <c r="C520" s="5"/>
      <c r="E520" s="19"/>
      <c r="F520" s="5"/>
      <c r="H520" s="19"/>
      <c r="Q520" s="5"/>
      <c r="R520" s="9"/>
    </row>
    <row r="521">
      <c r="A521" s="44"/>
      <c r="C521" s="5"/>
      <c r="E521" s="19"/>
      <c r="F521" s="5"/>
      <c r="H521" s="19"/>
      <c r="Q521" s="5"/>
      <c r="R521" s="9"/>
    </row>
    <row r="522">
      <c r="A522" s="44"/>
      <c r="C522" s="5"/>
      <c r="E522" s="19"/>
      <c r="F522" s="5"/>
      <c r="H522" s="19"/>
      <c r="Q522" s="5"/>
      <c r="R522" s="9"/>
    </row>
    <row r="523">
      <c r="A523" s="44"/>
      <c r="C523" s="5"/>
      <c r="E523" s="19"/>
      <c r="F523" s="5"/>
      <c r="H523" s="19"/>
      <c r="Q523" s="5"/>
      <c r="R523" s="9"/>
    </row>
    <row r="524">
      <c r="A524" s="44"/>
      <c r="C524" s="5"/>
      <c r="E524" s="19"/>
      <c r="F524" s="5"/>
      <c r="H524" s="19"/>
      <c r="Q524" s="5"/>
      <c r="R524" s="9"/>
    </row>
    <row r="525">
      <c r="A525" s="44"/>
      <c r="C525" s="5"/>
      <c r="E525" s="19"/>
      <c r="F525" s="5"/>
      <c r="H525" s="19"/>
      <c r="Q525" s="5"/>
      <c r="R525" s="9"/>
    </row>
    <row r="526">
      <c r="A526" s="44"/>
      <c r="C526" s="5"/>
      <c r="E526" s="19"/>
      <c r="F526" s="5"/>
      <c r="H526" s="19"/>
      <c r="Q526" s="5"/>
      <c r="R526" s="9"/>
    </row>
    <row r="527">
      <c r="A527" s="44"/>
      <c r="C527" s="5"/>
      <c r="E527" s="19"/>
      <c r="F527" s="5"/>
      <c r="H527" s="19"/>
      <c r="Q527" s="5"/>
      <c r="R527" s="9"/>
    </row>
    <row r="528">
      <c r="A528" s="44"/>
      <c r="C528" s="5"/>
      <c r="E528" s="19"/>
      <c r="F528" s="5"/>
      <c r="H528" s="19"/>
      <c r="Q528" s="5"/>
      <c r="R528" s="9"/>
    </row>
    <row r="529">
      <c r="A529" s="44"/>
      <c r="C529" s="5"/>
      <c r="E529" s="19"/>
      <c r="F529" s="5"/>
      <c r="H529" s="19"/>
      <c r="Q529" s="5"/>
      <c r="R529" s="9"/>
    </row>
    <row r="530">
      <c r="A530" s="44"/>
      <c r="C530" s="5"/>
      <c r="E530" s="19"/>
      <c r="F530" s="5"/>
      <c r="H530" s="19"/>
      <c r="Q530" s="5"/>
      <c r="R530" s="9"/>
    </row>
    <row r="531">
      <c r="A531" s="44"/>
      <c r="C531" s="5"/>
      <c r="E531" s="19"/>
      <c r="F531" s="5"/>
      <c r="H531" s="19"/>
      <c r="Q531" s="5"/>
      <c r="R531" s="9"/>
    </row>
    <row r="532">
      <c r="A532" s="44"/>
      <c r="C532" s="5"/>
      <c r="E532" s="19"/>
      <c r="F532" s="5"/>
      <c r="H532" s="19"/>
      <c r="Q532" s="5"/>
      <c r="R532" s="9"/>
    </row>
    <row r="533">
      <c r="A533" s="44"/>
      <c r="C533" s="5"/>
      <c r="E533" s="19"/>
      <c r="F533" s="5"/>
      <c r="H533" s="19"/>
      <c r="Q533" s="5"/>
      <c r="R533" s="9"/>
    </row>
    <row r="534">
      <c r="A534" s="44"/>
      <c r="C534" s="5"/>
      <c r="E534" s="19"/>
      <c r="F534" s="5"/>
      <c r="H534" s="19"/>
      <c r="Q534" s="5"/>
      <c r="R534" s="9"/>
    </row>
    <row r="535">
      <c r="A535" s="44"/>
      <c r="C535" s="5"/>
      <c r="E535" s="19"/>
      <c r="F535" s="5"/>
      <c r="H535" s="19"/>
      <c r="Q535" s="5"/>
      <c r="R535" s="9"/>
    </row>
    <row r="536">
      <c r="A536" s="44"/>
      <c r="C536" s="5"/>
      <c r="E536" s="19"/>
      <c r="F536" s="5"/>
      <c r="H536" s="19"/>
      <c r="Q536" s="5"/>
      <c r="R536" s="9"/>
    </row>
    <row r="537">
      <c r="A537" s="44"/>
      <c r="C537" s="5"/>
      <c r="E537" s="19"/>
      <c r="F537" s="5"/>
      <c r="H537" s="19"/>
      <c r="Q537" s="5"/>
      <c r="R537" s="9"/>
    </row>
    <row r="538">
      <c r="A538" s="44"/>
      <c r="C538" s="5"/>
      <c r="E538" s="19"/>
      <c r="F538" s="5"/>
      <c r="H538" s="19"/>
      <c r="Q538" s="5"/>
      <c r="R538" s="9"/>
    </row>
    <row r="539">
      <c r="A539" s="44"/>
      <c r="C539" s="5"/>
      <c r="E539" s="19"/>
      <c r="F539" s="5"/>
      <c r="H539" s="19"/>
      <c r="Q539" s="5"/>
      <c r="R539" s="9"/>
    </row>
    <row r="540">
      <c r="A540" s="44"/>
      <c r="C540" s="5"/>
      <c r="E540" s="19"/>
      <c r="F540" s="5"/>
      <c r="H540" s="19"/>
      <c r="Q540" s="5"/>
      <c r="R540" s="9"/>
    </row>
    <row r="541">
      <c r="A541" s="44"/>
      <c r="C541" s="5"/>
      <c r="E541" s="19"/>
      <c r="F541" s="5"/>
      <c r="H541" s="19"/>
      <c r="Q541" s="5"/>
      <c r="R541" s="9"/>
    </row>
    <row r="542">
      <c r="A542" s="44"/>
      <c r="C542" s="5"/>
      <c r="E542" s="19"/>
      <c r="F542" s="5"/>
      <c r="H542" s="19"/>
      <c r="Q542" s="5"/>
      <c r="R542" s="9"/>
    </row>
    <row r="543">
      <c r="A543" s="44"/>
      <c r="C543" s="5"/>
      <c r="E543" s="19"/>
      <c r="F543" s="5"/>
      <c r="H543" s="19"/>
      <c r="Q543" s="5"/>
      <c r="R543" s="9"/>
    </row>
    <row r="544">
      <c r="A544" s="44"/>
      <c r="C544" s="5"/>
      <c r="E544" s="19"/>
      <c r="F544" s="5"/>
      <c r="H544" s="19"/>
      <c r="Q544" s="5"/>
      <c r="R544" s="9"/>
    </row>
    <row r="545">
      <c r="A545" s="44"/>
      <c r="C545" s="5"/>
      <c r="E545" s="19"/>
      <c r="F545" s="5"/>
      <c r="H545" s="19"/>
      <c r="Q545" s="5"/>
      <c r="R545" s="9"/>
    </row>
    <row r="546">
      <c r="A546" s="44"/>
      <c r="C546" s="5"/>
      <c r="E546" s="19"/>
      <c r="F546" s="5"/>
      <c r="H546" s="19"/>
      <c r="Q546" s="5"/>
      <c r="R546" s="9"/>
    </row>
    <row r="547">
      <c r="A547" s="44"/>
      <c r="C547" s="5"/>
      <c r="E547" s="19"/>
      <c r="F547" s="5"/>
      <c r="H547" s="19"/>
      <c r="Q547" s="5"/>
      <c r="R547" s="9"/>
    </row>
    <row r="548">
      <c r="A548" s="44"/>
      <c r="C548" s="5"/>
      <c r="E548" s="19"/>
      <c r="F548" s="5"/>
      <c r="H548" s="19"/>
      <c r="Q548" s="5"/>
      <c r="R548" s="9"/>
    </row>
    <row r="549">
      <c r="A549" s="44"/>
      <c r="C549" s="5"/>
      <c r="E549" s="19"/>
      <c r="F549" s="5"/>
      <c r="H549" s="19"/>
      <c r="Q549" s="5"/>
      <c r="R549" s="9"/>
    </row>
    <row r="550">
      <c r="A550" s="44"/>
      <c r="C550" s="5"/>
      <c r="E550" s="19"/>
      <c r="F550" s="5"/>
      <c r="H550" s="19"/>
      <c r="Q550" s="5"/>
      <c r="R550" s="9"/>
    </row>
    <row r="551">
      <c r="A551" s="44"/>
      <c r="C551" s="5"/>
      <c r="E551" s="19"/>
      <c r="F551" s="5"/>
      <c r="H551" s="19"/>
      <c r="Q551" s="5"/>
      <c r="R551" s="9"/>
    </row>
    <row r="552">
      <c r="A552" s="44"/>
      <c r="C552" s="5"/>
      <c r="E552" s="19"/>
      <c r="F552" s="5"/>
      <c r="H552" s="19"/>
      <c r="Q552" s="5"/>
      <c r="R552" s="9"/>
    </row>
    <row r="553">
      <c r="A553" s="44"/>
      <c r="C553" s="5"/>
      <c r="E553" s="19"/>
      <c r="F553" s="5"/>
      <c r="H553" s="19"/>
      <c r="Q553" s="5"/>
      <c r="R553" s="9"/>
    </row>
    <row r="554">
      <c r="A554" s="44"/>
      <c r="C554" s="5"/>
      <c r="E554" s="19"/>
      <c r="F554" s="5"/>
      <c r="H554" s="19"/>
      <c r="Q554" s="5"/>
      <c r="R554" s="9"/>
    </row>
    <row r="555">
      <c r="A555" s="44"/>
      <c r="C555" s="5"/>
      <c r="E555" s="19"/>
      <c r="F555" s="5"/>
      <c r="H555" s="19"/>
      <c r="Q555" s="5"/>
      <c r="R555" s="9"/>
    </row>
    <row r="556">
      <c r="A556" s="44"/>
      <c r="C556" s="5"/>
      <c r="E556" s="19"/>
      <c r="F556" s="5"/>
      <c r="H556" s="19"/>
      <c r="Q556" s="5"/>
      <c r="R556" s="9"/>
    </row>
    <row r="557">
      <c r="A557" s="44"/>
      <c r="C557" s="5"/>
      <c r="E557" s="19"/>
      <c r="F557" s="5"/>
      <c r="H557" s="19"/>
      <c r="Q557" s="5"/>
      <c r="R557" s="9"/>
    </row>
    <row r="558">
      <c r="A558" s="44"/>
      <c r="C558" s="5"/>
      <c r="E558" s="19"/>
      <c r="F558" s="5"/>
      <c r="H558" s="19"/>
      <c r="Q558" s="5"/>
      <c r="R558" s="9"/>
    </row>
    <row r="559">
      <c r="A559" s="44"/>
      <c r="C559" s="5"/>
      <c r="E559" s="19"/>
      <c r="F559" s="5"/>
      <c r="H559" s="19"/>
      <c r="Q559" s="5"/>
      <c r="R559" s="9"/>
    </row>
    <row r="560">
      <c r="A560" s="44"/>
      <c r="C560" s="5"/>
      <c r="E560" s="19"/>
      <c r="F560" s="5"/>
      <c r="H560" s="19"/>
      <c r="Q560" s="5"/>
      <c r="R560" s="9"/>
    </row>
    <row r="561">
      <c r="A561" s="44"/>
      <c r="C561" s="5"/>
      <c r="E561" s="19"/>
      <c r="F561" s="5"/>
      <c r="H561" s="19"/>
      <c r="Q561" s="5"/>
      <c r="R561" s="9"/>
    </row>
    <row r="562">
      <c r="A562" s="44"/>
      <c r="C562" s="5"/>
      <c r="E562" s="19"/>
      <c r="F562" s="5"/>
      <c r="H562" s="19"/>
      <c r="Q562" s="5"/>
      <c r="R562" s="9"/>
    </row>
    <row r="563">
      <c r="A563" s="44"/>
      <c r="C563" s="5"/>
      <c r="E563" s="19"/>
      <c r="F563" s="5"/>
      <c r="H563" s="19"/>
      <c r="Q563" s="5"/>
      <c r="R563" s="9"/>
    </row>
    <row r="564">
      <c r="A564" s="44"/>
      <c r="C564" s="5"/>
      <c r="E564" s="19"/>
      <c r="F564" s="5"/>
      <c r="H564" s="19"/>
      <c r="Q564" s="5"/>
      <c r="R564" s="9"/>
    </row>
    <row r="565">
      <c r="A565" s="44"/>
      <c r="C565" s="5"/>
      <c r="E565" s="19"/>
      <c r="F565" s="5"/>
      <c r="H565" s="19"/>
      <c r="Q565" s="5"/>
      <c r="R565" s="9"/>
    </row>
    <row r="566">
      <c r="A566" s="44"/>
      <c r="C566" s="5"/>
      <c r="E566" s="19"/>
      <c r="F566" s="5"/>
      <c r="H566" s="19"/>
      <c r="Q566" s="5"/>
      <c r="R566" s="9"/>
    </row>
    <row r="567">
      <c r="A567" s="44"/>
      <c r="C567" s="5"/>
      <c r="E567" s="19"/>
      <c r="F567" s="5"/>
      <c r="H567" s="19"/>
      <c r="Q567" s="5"/>
      <c r="R567" s="9"/>
    </row>
    <row r="568">
      <c r="A568" s="44"/>
      <c r="C568" s="5"/>
      <c r="E568" s="19"/>
      <c r="F568" s="5"/>
      <c r="H568" s="19"/>
      <c r="Q568" s="5"/>
      <c r="R568" s="9"/>
    </row>
    <row r="569">
      <c r="A569" s="44"/>
      <c r="C569" s="5"/>
      <c r="E569" s="19"/>
      <c r="F569" s="5"/>
      <c r="H569" s="19"/>
      <c r="Q569" s="5"/>
      <c r="R569" s="9"/>
    </row>
    <row r="570">
      <c r="A570" s="44"/>
      <c r="C570" s="5"/>
      <c r="E570" s="19"/>
      <c r="F570" s="5"/>
      <c r="H570" s="19"/>
      <c r="Q570" s="5"/>
      <c r="R570" s="9"/>
    </row>
    <row r="571">
      <c r="A571" s="44"/>
      <c r="C571" s="5"/>
      <c r="E571" s="19"/>
      <c r="F571" s="5"/>
      <c r="H571" s="19"/>
      <c r="Q571" s="5"/>
      <c r="R571" s="9"/>
    </row>
    <row r="572">
      <c r="A572" s="44"/>
      <c r="C572" s="5"/>
      <c r="E572" s="19"/>
      <c r="F572" s="5"/>
      <c r="H572" s="19"/>
      <c r="Q572" s="5"/>
      <c r="R572" s="9"/>
    </row>
    <row r="573">
      <c r="A573" s="44"/>
      <c r="C573" s="5"/>
      <c r="E573" s="19"/>
      <c r="F573" s="5"/>
      <c r="H573" s="19"/>
      <c r="Q573" s="5"/>
      <c r="R573" s="9"/>
    </row>
    <row r="574">
      <c r="A574" s="44"/>
      <c r="C574" s="5"/>
      <c r="E574" s="19"/>
      <c r="F574" s="5"/>
      <c r="H574" s="19"/>
      <c r="Q574" s="5"/>
      <c r="R574" s="9"/>
    </row>
    <row r="575">
      <c r="A575" s="44"/>
      <c r="C575" s="5"/>
      <c r="E575" s="19"/>
      <c r="F575" s="5"/>
      <c r="H575" s="19"/>
      <c r="Q575" s="5"/>
      <c r="R575" s="9"/>
    </row>
    <row r="576">
      <c r="A576" s="44"/>
      <c r="C576" s="5"/>
      <c r="E576" s="19"/>
      <c r="F576" s="5"/>
      <c r="H576" s="19"/>
      <c r="Q576" s="5"/>
      <c r="R576" s="9"/>
    </row>
    <row r="577">
      <c r="A577" s="44"/>
      <c r="C577" s="5"/>
      <c r="E577" s="19"/>
      <c r="F577" s="5"/>
      <c r="H577" s="19"/>
      <c r="Q577" s="5"/>
      <c r="R577" s="9"/>
    </row>
    <row r="578">
      <c r="A578" s="44"/>
      <c r="C578" s="5"/>
      <c r="E578" s="19"/>
      <c r="F578" s="5"/>
      <c r="H578" s="19"/>
      <c r="Q578" s="5"/>
      <c r="R578" s="9"/>
    </row>
    <row r="579">
      <c r="A579" s="44"/>
      <c r="C579" s="5"/>
      <c r="E579" s="19"/>
      <c r="F579" s="5"/>
      <c r="H579" s="19"/>
      <c r="Q579" s="5"/>
      <c r="R579" s="9"/>
    </row>
    <row r="580">
      <c r="A580" s="44"/>
      <c r="C580" s="5"/>
      <c r="E580" s="19"/>
      <c r="F580" s="5"/>
      <c r="H580" s="19"/>
      <c r="Q580" s="5"/>
      <c r="R580" s="9"/>
    </row>
    <row r="581">
      <c r="A581" s="44"/>
      <c r="C581" s="5"/>
      <c r="E581" s="19"/>
      <c r="F581" s="5"/>
      <c r="H581" s="19"/>
      <c r="Q581" s="5"/>
      <c r="R581" s="9"/>
    </row>
    <row r="582">
      <c r="A582" s="44"/>
      <c r="C582" s="5"/>
      <c r="E582" s="19"/>
      <c r="F582" s="5"/>
      <c r="H582" s="19"/>
      <c r="Q582" s="5"/>
      <c r="R582" s="9"/>
    </row>
    <row r="583">
      <c r="A583" s="44"/>
      <c r="C583" s="5"/>
      <c r="E583" s="19"/>
      <c r="F583" s="5"/>
      <c r="H583" s="19"/>
      <c r="Q583" s="5"/>
      <c r="R583" s="9"/>
    </row>
    <row r="584">
      <c r="A584" s="44"/>
      <c r="C584" s="5"/>
      <c r="E584" s="19"/>
      <c r="F584" s="5"/>
      <c r="H584" s="19"/>
      <c r="Q584" s="5"/>
      <c r="R584" s="9"/>
    </row>
    <row r="585">
      <c r="A585" s="44"/>
      <c r="C585" s="5"/>
      <c r="E585" s="19"/>
      <c r="F585" s="5"/>
      <c r="H585" s="19"/>
      <c r="Q585" s="5"/>
      <c r="R585" s="9"/>
    </row>
    <row r="586">
      <c r="A586" s="44"/>
      <c r="C586" s="5"/>
      <c r="E586" s="19"/>
      <c r="F586" s="5"/>
      <c r="H586" s="19"/>
      <c r="Q586" s="5"/>
      <c r="R586" s="9"/>
    </row>
    <row r="587">
      <c r="A587" s="44"/>
      <c r="C587" s="5"/>
      <c r="E587" s="19"/>
      <c r="F587" s="5"/>
      <c r="H587" s="19"/>
      <c r="Q587" s="5"/>
      <c r="R587" s="9"/>
    </row>
    <row r="588">
      <c r="A588" s="44"/>
      <c r="C588" s="5"/>
      <c r="E588" s="19"/>
      <c r="F588" s="5"/>
      <c r="H588" s="19"/>
      <c r="Q588" s="5"/>
      <c r="R588" s="9"/>
    </row>
    <row r="589">
      <c r="A589" s="44"/>
      <c r="C589" s="5"/>
      <c r="E589" s="19"/>
      <c r="F589" s="5"/>
      <c r="H589" s="19"/>
      <c r="Q589" s="5"/>
      <c r="R589" s="9"/>
    </row>
    <row r="590">
      <c r="A590" s="44"/>
      <c r="C590" s="5"/>
      <c r="E590" s="19"/>
      <c r="F590" s="5"/>
      <c r="H590" s="19"/>
      <c r="Q590" s="5"/>
      <c r="R590" s="9"/>
    </row>
    <row r="591">
      <c r="A591" s="44"/>
      <c r="C591" s="5"/>
      <c r="E591" s="19"/>
      <c r="F591" s="5"/>
      <c r="H591" s="19"/>
      <c r="Q591" s="5"/>
      <c r="R591" s="9"/>
    </row>
    <row r="592">
      <c r="A592" s="44"/>
      <c r="C592" s="5"/>
      <c r="E592" s="19"/>
      <c r="F592" s="5"/>
      <c r="H592" s="19"/>
      <c r="Q592" s="5"/>
      <c r="R592" s="9"/>
    </row>
    <row r="593">
      <c r="A593" s="44"/>
      <c r="C593" s="5"/>
      <c r="E593" s="19"/>
      <c r="F593" s="5"/>
      <c r="H593" s="19"/>
      <c r="Q593" s="5"/>
      <c r="R593" s="9"/>
    </row>
    <row r="594">
      <c r="A594" s="44"/>
      <c r="C594" s="5"/>
      <c r="E594" s="19"/>
      <c r="F594" s="5"/>
      <c r="H594" s="19"/>
      <c r="Q594" s="5"/>
      <c r="R594" s="9"/>
    </row>
    <row r="595">
      <c r="A595" s="44"/>
      <c r="C595" s="5"/>
      <c r="E595" s="19"/>
      <c r="F595" s="5"/>
      <c r="H595" s="19"/>
      <c r="Q595" s="5"/>
      <c r="R595" s="9"/>
    </row>
    <row r="596">
      <c r="A596" s="44"/>
      <c r="C596" s="5"/>
      <c r="E596" s="19"/>
      <c r="F596" s="5"/>
      <c r="H596" s="19"/>
      <c r="Q596" s="5"/>
      <c r="R596" s="9"/>
    </row>
    <row r="597">
      <c r="A597" s="44"/>
      <c r="C597" s="5"/>
      <c r="E597" s="19"/>
      <c r="F597" s="5"/>
      <c r="H597" s="19"/>
      <c r="Q597" s="5"/>
      <c r="R597" s="9"/>
    </row>
    <row r="598">
      <c r="A598" s="44"/>
      <c r="C598" s="5"/>
      <c r="E598" s="19"/>
      <c r="F598" s="5"/>
      <c r="H598" s="19"/>
      <c r="Q598" s="5"/>
      <c r="R598" s="9"/>
    </row>
    <row r="599">
      <c r="A599" s="44"/>
      <c r="C599" s="5"/>
      <c r="E599" s="19"/>
      <c r="F599" s="5"/>
      <c r="H599" s="19"/>
      <c r="Q599" s="5"/>
      <c r="R599" s="9"/>
    </row>
    <row r="600">
      <c r="A600" s="44"/>
      <c r="C600" s="5"/>
      <c r="E600" s="19"/>
      <c r="F600" s="5"/>
      <c r="H600" s="19"/>
      <c r="Q600" s="5"/>
      <c r="R600" s="9"/>
    </row>
    <row r="601">
      <c r="A601" s="44"/>
      <c r="C601" s="5"/>
      <c r="E601" s="19"/>
      <c r="F601" s="5"/>
      <c r="H601" s="19"/>
      <c r="Q601" s="5"/>
      <c r="R601" s="9"/>
    </row>
    <row r="602">
      <c r="A602" s="44"/>
      <c r="C602" s="5"/>
      <c r="E602" s="19"/>
      <c r="F602" s="5"/>
      <c r="H602" s="19"/>
      <c r="Q602" s="5"/>
      <c r="R602" s="9"/>
    </row>
    <row r="603">
      <c r="A603" s="44"/>
      <c r="C603" s="5"/>
      <c r="E603" s="19"/>
      <c r="F603" s="5"/>
      <c r="H603" s="19"/>
      <c r="Q603" s="5"/>
      <c r="R603" s="9"/>
    </row>
    <row r="604">
      <c r="A604" s="44"/>
      <c r="C604" s="5"/>
      <c r="E604" s="19"/>
      <c r="F604" s="5"/>
      <c r="H604" s="19"/>
      <c r="Q604" s="5"/>
      <c r="R604" s="9"/>
    </row>
    <row r="605">
      <c r="A605" s="44"/>
      <c r="C605" s="5"/>
      <c r="E605" s="19"/>
      <c r="F605" s="5"/>
      <c r="H605" s="19"/>
      <c r="Q605" s="5"/>
      <c r="R605" s="9"/>
    </row>
    <row r="606">
      <c r="A606" s="44"/>
      <c r="C606" s="5"/>
      <c r="E606" s="19"/>
      <c r="F606" s="5"/>
      <c r="H606" s="19"/>
      <c r="Q606" s="5"/>
      <c r="R606" s="9"/>
    </row>
    <row r="607">
      <c r="A607" s="44"/>
      <c r="C607" s="5"/>
      <c r="E607" s="19"/>
      <c r="F607" s="5"/>
      <c r="H607" s="19"/>
      <c r="Q607" s="5"/>
      <c r="R607" s="9"/>
    </row>
    <row r="608">
      <c r="A608" s="44"/>
      <c r="C608" s="5"/>
      <c r="E608" s="19"/>
      <c r="F608" s="5"/>
      <c r="H608" s="19"/>
      <c r="Q608" s="5"/>
      <c r="R608" s="9"/>
    </row>
    <row r="609">
      <c r="A609" s="44"/>
      <c r="C609" s="5"/>
      <c r="E609" s="19"/>
      <c r="F609" s="5"/>
      <c r="H609" s="19"/>
      <c r="Q609" s="5"/>
      <c r="R609" s="9"/>
    </row>
    <row r="610">
      <c r="A610" s="44"/>
      <c r="C610" s="5"/>
      <c r="E610" s="19"/>
      <c r="F610" s="5"/>
      <c r="H610" s="19"/>
      <c r="Q610" s="5"/>
      <c r="R610" s="9"/>
    </row>
    <row r="611">
      <c r="A611" s="44"/>
      <c r="C611" s="5"/>
      <c r="E611" s="19"/>
      <c r="F611" s="5"/>
      <c r="H611" s="19"/>
      <c r="Q611" s="5"/>
      <c r="R611" s="9"/>
    </row>
    <row r="612">
      <c r="A612" s="44"/>
      <c r="C612" s="5"/>
      <c r="E612" s="19"/>
      <c r="F612" s="5"/>
      <c r="H612" s="19"/>
      <c r="Q612" s="5"/>
      <c r="R612" s="9"/>
    </row>
    <row r="613">
      <c r="A613" s="44"/>
      <c r="C613" s="5"/>
      <c r="E613" s="19"/>
      <c r="F613" s="5"/>
      <c r="H613" s="19"/>
      <c r="Q613" s="5"/>
      <c r="R613" s="9"/>
    </row>
    <row r="614">
      <c r="A614" s="44"/>
      <c r="C614" s="5"/>
      <c r="E614" s="19"/>
      <c r="F614" s="5"/>
      <c r="H614" s="19"/>
      <c r="Q614" s="5"/>
      <c r="R614" s="9"/>
    </row>
    <row r="615">
      <c r="A615" s="44"/>
      <c r="C615" s="5"/>
      <c r="E615" s="19"/>
      <c r="F615" s="5"/>
      <c r="H615" s="19"/>
      <c r="Q615" s="5"/>
      <c r="R615" s="9"/>
    </row>
    <row r="616">
      <c r="A616" s="44"/>
      <c r="C616" s="5"/>
      <c r="E616" s="19"/>
      <c r="F616" s="5"/>
      <c r="H616" s="19"/>
      <c r="Q616" s="5"/>
      <c r="R616" s="9"/>
    </row>
    <row r="617">
      <c r="A617" s="44"/>
      <c r="C617" s="5"/>
      <c r="E617" s="19"/>
      <c r="F617" s="5"/>
      <c r="H617" s="19"/>
      <c r="Q617" s="5"/>
      <c r="R617" s="9"/>
    </row>
    <row r="618">
      <c r="A618" s="44"/>
      <c r="C618" s="5"/>
      <c r="E618" s="19"/>
      <c r="F618" s="5"/>
      <c r="H618" s="19"/>
      <c r="Q618" s="5"/>
      <c r="R618" s="9"/>
    </row>
    <row r="619">
      <c r="A619" s="44"/>
      <c r="C619" s="5"/>
      <c r="E619" s="19"/>
      <c r="F619" s="5"/>
      <c r="H619" s="19"/>
      <c r="Q619" s="5"/>
      <c r="R619" s="9"/>
    </row>
    <row r="620">
      <c r="A620" s="44"/>
      <c r="C620" s="5"/>
      <c r="E620" s="19"/>
      <c r="F620" s="5"/>
      <c r="H620" s="19"/>
      <c r="Q620" s="5"/>
      <c r="R620" s="9"/>
    </row>
    <row r="621">
      <c r="A621" s="44"/>
      <c r="C621" s="5"/>
      <c r="E621" s="19"/>
      <c r="F621" s="5"/>
      <c r="H621" s="19"/>
      <c r="Q621" s="5"/>
      <c r="R621" s="9"/>
    </row>
    <row r="622">
      <c r="A622" s="44"/>
      <c r="C622" s="5"/>
      <c r="E622" s="19"/>
      <c r="F622" s="5"/>
      <c r="H622" s="19"/>
      <c r="Q622" s="5"/>
      <c r="R622" s="9"/>
    </row>
    <row r="623">
      <c r="A623" s="44"/>
      <c r="C623" s="5"/>
      <c r="E623" s="19"/>
      <c r="F623" s="5"/>
      <c r="H623" s="19"/>
      <c r="Q623" s="5"/>
      <c r="R623" s="9"/>
    </row>
    <row r="624">
      <c r="A624" s="44"/>
      <c r="C624" s="5"/>
      <c r="E624" s="19"/>
      <c r="F624" s="5"/>
      <c r="H624" s="19"/>
      <c r="Q624" s="5"/>
      <c r="R624" s="9"/>
    </row>
    <row r="625">
      <c r="A625" s="44"/>
      <c r="C625" s="5"/>
      <c r="E625" s="19"/>
      <c r="F625" s="5"/>
      <c r="H625" s="19"/>
      <c r="Q625" s="5"/>
      <c r="R625" s="9"/>
    </row>
    <row r="626">
      <c r="A626" s="44"/>
      <c r="C626" s="5"/>
      <c r="E626" s="19"/>
      <c r="F626" s="5"/>
      <c r="H626" s="19"/>
      <c r="Q626" s="5"/>
      <c r="R626" s="9"/>
    </row>
    <row r="627">
      <c r="A627" s="44"/>
      <c r="C627" s="5"/>
      <c r="E627" s="19"/>
      <c r="F627" s="5"/>
      <c r="H627" s="19"/>
      <c r="Q627" s="5"/>
      <c r="R627" s="9"/>
    </row>
    <row r="628">
      <c r="A628" s="44"/>
      <c r="C628" s="5"/>
      <c r="E628" s="19"/>
      <c r="F628" s="5"/>
      <c r="H628" s="19"/>
      <c r="Q628" s="5"/>
      <c r="R628" s="9"/>
    </row>
    <row r="629">
      <c r="A629" s="44"/>
      <c r="C629" s="5"/>
      <c r="E629" s="19"/>
      <c r="F629" s="5"/>
      <c r="H629" s="19"/>
      <c r="Q629" s="5"/>
      <c r="R629" s="9"/>
    </row>
    <row r="630">
      <c r="A630" s="44"/>
      <c r="C630" s="5"/>
      <c r="E630" s="19"/>
      <c r="F630" s="5"/>
      <c r="H630" s="19"/>
      <c r="Q630" s="5"/>
      <c r="R630" s="9"/>
    </row>
    <row r="631">
      <c r="A631" s="44"/>
      <c r="C631" s="5"/>
      <c r="E631" s="19"/>
      <c r="F631" s="5"/>
      <c r="H631" s="19"/>
      <c r="Q631" s="5"/>
      <c r="R631" s="9"/>
    </row>
    <row r="632">
      <c r="A632" s="44"/>
      <c r="C632" s="5"/>
      <c r="E632" s="19"/>
      <c r="F632" s="5"/>
      <c r="H632" s="19"/>
      <c r="Q632" s="5"/>
      <c r="R632" s="9"/>
    </row>
    <row r="633">
      <c r="A633" s="44"/>
      <c r="C633" s="5"/>
      <c r="E633" s="19"/>
      <c r="F633" s="5"/>
      <c r="H633" s="19"/>
      <c r="Q633" s="5"/>
      <c r="R633" s="9"/>
    </row>
    <row r="634">
      <c r="A634" s="44"/>
      <c r="C634" s="5"/>
      <c r="E634" s="19"/>
      <c r="F634" s="5"/>
      <c r="H634" s="19"/>
      <c r="Q634" s="5"/>
      <c r="R634" s="9"/>
    </row>
    <row r="635">
      <c r="A635" s="44"/>
      <c r="C635" s="5"/>
      <c r="E635" s="19"/>
      <c r="F635" s="5"/>
      <c r="H635" s="19"/>
      <c r="Q635" s="5"/>
      <c r="R635" s="9"/>
    </row>
    <row r="636">
      <c r="A636" s="44"/>
      <c r="C636" s="5"/>
      <c r="E636" s="19"/>
      <c r="F636" s="5"/>
      <c r="H636" s="19"/>
      <c r="Q636" s="5"/>
      <c r="R636" s="9"/>
    </row>
    <row r="637">
      <c r="A637" s="44"/>
      <c r="C637" s="5"/>
      <c r="E637" s="19"/>
      <c r="F637" s="5"/>
      <c r="H637" s="19"/>
      <c r="Q637" s="5"/>
      <c r="R637" s="9"/>
    </row>
    <row r="638">
      <c r="A638" s="44"/>
      <c r="C638" s="5"/>
      <c r="E638" s="19"/>
      <c r="F638" s="5"/>
      <c r="H638" s="19"/>
      <c r="Q638" s="5"/>
      <c r="R638" s="9"/>
    </row>
    <row r="639">
      <c r="A639" s="44"/>
      <c r="C639" s="5"/>
      <c r="E639" s="19"/>
      <c r="F639" s="5"/>
      <c r="H639" s="19"/>
      <c r="Q639" s="5"/>
      <c r="R639" s="9"/>
    </row>
    <row r="640">
      <c r="A640" s="44"/>
      <c r="C640" s="5"/>
      <c r="E640" s="19"/>
      <c r="F640" s="5"/>
      <c r="H640" s="19"/>
      <c r="Q640" s="5"/>
      <c r="R640" s="9"/>
    </row>
    <row r="641">
      <c r="A641" s="44"/>
      <c r="C641" s="5"/>
      <c r="E641" s="19"/>
      <c r="F641" s="5"/>
      <c r="H641" s="19"/>
      <c r="Q641" s="5"/>
      <c r="R641" s="9"/>
    </row>
    <row r="642">
      <c r="A642" s="44"/>
      <c r="C642" s="5"/>
      <c r="E642" s="19"/>
      <c r="F642" s="5"/>
      <c r="H642" s="19"/>
      <c r="Q642" s="5"/>
      <c r="R642" s="9"/>
    </row>
    <row r="643">
      <c r="A643" s="44"/>
      <c r="C643" s="5"/>
      <c r="E643" s="19"/>
      <c r="F643" s="5"/>
      <c r="H643" s="19"/>
      <c r="Q643" s="5"/>
      <c r="R643" s="9"/>
    </row>
    <row r="644">
      <c r="A644" s="44"/>
      <c r="C644" s="5"/>
      <c r="E644" s="19"/>
      <c r="F644" s="5"/>
      <c r="H644" s="19"/>
      <c r="Q644" s="5"/>
      <c r="R644" s="9"/>
    </row>
    <row r="645">
      <c r="A645" s="44"/>
      <c r="C645" s="5"/>
      <c r="E645" s="19"/>
      <c r="F645" s="5"/>
      <c r="H645" s="19"/>
      <c r="Q645" s="5"/>
      <c r="R645" s="9"/>
    </row>
    <row r="646">
      <c r="A646" s="44"/>
      <c r="C646" s="5"/>
      <c r="E646" s="19"/>
      <c r="F646" s="5"/>
      <c r="H646" s="19"/>
      <c r="Q646" s="5"/>
      <c r="R646" s="9"/>
    </row>
    <row r="647">
      <c r="A647" s="44"/>
      <c r="C647" s="5"/>
      <c r="E647" s="19"/>
      <c r="F647" s="5"/>
      <c r="H647" s="19"/>
      <c r="Q647" s="5"/>
      <c r="R647" s="9"/>
    </row>
    <row r="648">
      <c r="A648" s="44"/>
      <c r="C648" s="5"/>
      <c r="E648" s="19"/>
      <c r="F648" s="5"/>
      <c r="H648" s="19"/>
      <c r="Q648" s="5"/>
      <c r="R648" s="9"/>
    </row>
    <row r="649">
      <c r="A649" s="44"/>
      <c r="C649" s="5"/>
      <c r="E649" s="19"/>
      <c r="F649" s="5"/>
      <c r="H649" s="19"/>
      <c r="Q649" s="5"/>
      <c r="R649" s="9"/>
    </row>
    <row r="650">
      <c r="A650" s="44"/>
      <c r="C650" s="5"/>
      <c r="E650" s="19"/>
      <c r="F650" s="5"/>
      <c r="H650" s="19"/>
      <c r="Q650" s="5"/>
      <c r="R650" s="9"/>
    </row>
    <row r="651">
      <c r="A651" s="44"/>
      <c r="C651" s="5"/>
      <c r="E651" s="19"/>
      <c r="F651" s="5"/>
      <c r="H651" s="19"/>
      <c r="Q651" s="5"/>
      <c r="R651" s="9"/>
    </row>
    <row r="652">
      <c r="A652" s="44"/>
      <c r="C652" s="5"/>
      <c r="E652" s="19"/>
      <c r="F652" s="5"/>
      <c r="H652" s="19"/>
      <c r="Q652" s="5"/>
      <c r="R652" s="9"/>
    </row>
    <row r="653">
      <c r="A653" s="44"/>
      <c r="C653" s="5"/>
      <c r="E653" s="19"/>
      <c r="F653" s="5"/>
      <c r="H653" s="19"/>
      <c r="Q653" s="5"/>
      <c r="R653" s="9"/>
    </row>
    <row r="654">
      <c r="A654" s="44"/>
      <c r="C654" s="5"/>
      <c r="E654" s="19"/>
      <c r="F654" s="5"/>
      <c r="H654" s="19"/>
      <c r="Q654" s="5"/>
      <c r="R654" s="9"/>
    </row>
    <row r="655">
      <c r="A655" s="44"/>
      <c r="C655" s="5"/>
      <c r="E655" s="19"/>
      <c r="F655" s="5"/>
      <c r="H655" s="19"/>
      <c r="Q655" s="5"/>
      <c r="R655" s="9"/>
    </row>
    <row r="656">
      <c r="A656" s="44"/>
      <c r="C656" s="5"/>
      <c r="E656" s="19"/>
      <c r="F656" s="5"/>
      <c r="H656" s="19"/>
      <c r="Q656" s="5"/>
      <c r="R656" s="9"/>
    </row>
    <row r="657">
      <c r="A657" s="44"/>
      <c r="C657" s="5"/>
      <c r="E657" s="19"/>
      <c r="F657" s="5"/>
      <c r="H657" s="19"/>
      <c r="Q657" s="5"/>
      <c r="R657" s="9"/>
    </row>
    <row r="658">
      <c r="A658" s="44"/>
      <c r="C658" s="5"/>
      <c r="E658" s="19"/>
      <c r="F658" s="5"/>
      <c r="H658" s="19"/>
      <c r="Q658" s="5"/>
      <c r="R658" s="9"/>
    </row>
    <row r="659">
      <c r="A659" s="44"/>
      <c r="C659" s="5"/>
      <c r="E659" s="19"/>
      <c r="F659" s="5"/>
      <c r="H659" s="19"/>
      <c r="Q659" s="5"/>
      <c r="R659" s="9"/>
    </row>
    <row r="660">
      <c r="A660" s="44"/>
      <c r="C660" s="5"/>
      <c r="E660" s="19"/>
      <c r="F660" s="5"/>
      <c r="H660" s="19"/>
      <c r="Q660" s="5"/>
      <c r="R660" s="9"/>
    </row>
    <row r="661">
      <c r="A661" s="44"/>
      <c r="C661" s="5"/>
      <c r="E661" s="19"/>
      <c r="F661" s="5"/>
      <c r="H661" s="19"/>
      <c r="Q661" s="5"/>
      <c r="R661" s="9"/>
    </row>
    <row r="662">
      <c r="A662" s="44"/>
      <c r="C662" s="5"/>
      <c r="E662" s="19"/>
      <c r="F662" s="5"/>
      <c r="H662" s="19"/>
      <c r="Q662" s="5"/>
      <c r="R662" s="9"/>
    </row>
    <row r="663">
      <c r="A663" s="44"/>
      <c r="C663" s="5"/>
      <c r="E663" s="19"/>
      <c r="F663" s="5"/>
      <c r="H663" s="19"/>
      <c r="Q663" s="5"/>
      <c r="R663" s="9"/>
    </row>
    <row r="664">
      <c r="A664" s="44"/>
      <c r="C664" s="5"/>
      <c r="E664" s="19"/>
      <c r="F664" s="5"/>
      <c r="H664" s="19"/>
      <c r="Q664" s="5"/>
      <c r="R664" s="9"/>
    </row>
    <row r="665">
      <c r="A665" s="44"/>
      <c r="C665" s="5"/>
      <c r="E665" s="19"/>
      <c r="F665" s="5"/>
      <c r="H665" s="19"/>
      <c r="Q665" s="5"/>
      <c r="R665" s="9"/>
    </row>
    <row r="666">
      <c r="A666" s="44"/>
      <c r="C666" s="5"/>
      <c r="E666" s="19"/>
      <c r="F666" s="5"/>
      <c r="H666" s="19"/>
      <c r="Q666" s="5"/>
      <c r="R666" s="9"/>
    </row>
    <row r="667">
      <c r="A667" s="44"/>
      <c r="C667" s="5"/>
      <c r="E667" s="19"/>
      <c r="F667" s="5"/>
      <c r="H667" s="19"/>
      <c r="Q667" s="5"/>
      <c r="R667" s="9"/>
    </row>
    <row r="668">
      <c r="A668" s="44"/>
      <c r="C668" s="5"/>
      <c r="E668" s="19"/>
      <c r="F668" s="5"/>
      <c r="H668" s="19"/>
      <c r="Q668" s="5"/>
      <c r="R668" s="9"/>
    </row>
    <row r="669">
      <c r="A669" s="44"/>
      <c r="C669" s="5"/>
      <c r="E669" s="19"/>
      <c r="F669" s="5"/>
      <c r="H669" s="19"/>
      <c r="Q669" s="5"/>
      <c r="R669" s="9"/>
    </row>
    <row r="670">
      <c r="A670" s="44"/>
      <c r="C670" s="5"/>
      <c r="E670" s="19"/>
      <c r="F670" s="5"/>
      <c r="H670" s="19"/>
      <c r="Q670" s="5"/>
      <c r="R670" s="9"/>
    </row>
    <row r="671">
      <c r="A671" s="44"/>
      <c r="C671" s="5"/>
      <c r="E671" s="19"/>
      <c r="F671" s="5"/>
      <c r="H671" s="19"/>
      <c r="Q671" s="5"/>
      <c r="R671" s="9"/>
    </row>
    <row r="672">
      <c r="A672" s="44"/>
      <c r="C672" s="5"/>
      <c r="E672" s="19"/>
      <c r="F672" s="5"/>
      <c r="H672" s="19"/>
      <c r="Q672" s="5"/>
      <c r="R672" s="9"/>
    </row>
    <row r="673">
      <c r="A673" s="44"/>
      <c r="C673" s="5"/>
      <c r="E673" s="19"/>
      <c r="F673" s="5"/>
      <c r="H673" s="19"/>
      <c r="Q673" s="5"/>
      <c r="R673" s="9"/>
    </row>
    <row r="674">
      <c r="A674" s="44"/>
      <c r="C674" s="5"/>
      <c r="E674" s="19"/>
      <c r="F674" s="5"/>
      <c r="H674" s="19"/>
      <c r="Q674" s="5"/>
      <c r="R674" s="9"/>
    </row>
    <row r="675">
      <c r="A675" s="44"/>
      <c r="C675" s="5"/>
      <c r="E675" s="19"/>
      <c r="F675" s="5"/>
      <c r="H675" s="19"/>
      <c r="Q675" s="5"/>
      <c r="R675" s="9"/>
    </row>
    <row r="676">
      <c r="A676" s="44"/>
      <c r="C676" s="5"/>
      <c r="E676" s="19"/>
      <c r="F676" s="5"/>
      <c r="H676" s="19"/>
      <c r="Q676" s="5"/>
      <c r="R676" s="9"/>
    </row>
    <row r="677">
      <c r="A677" s="44"/>
      <c r="C677" s="5"/>
      <c r="E677" s="19"/>
      <c r="F677" s="5"/>
      <c r="H677" s="19"/>
      <c r="Q677" s="5"/>
      <c r="R677" s="9"/>
    </row>
    <row r="678">
      <c r="A678" s="44"/>
      <c r="C678" s="5"/>
      <c r="E678" s="19"/>
      <c r="F678" s="5"/>
      <c r="H678" s="19"/>
      <c r="Q678" s="5"/>
      <c r="R678" s="9"/>
    </row>
    <row r="679">
      <c r="A679" s="44"/>
      <c r="C679" s="5"/>
      <c r="E679" s="19"/>
      <c r="F679" s="5"/>
      <c r="H679" s="19"/>
      <c r="Q679" s="5"/>
      <c r="R679" s="9"/>
    </row>
    <row r="680">
      <c r="A680" s="44"/>
      <c r="C680" s="5"/>
      <c r="E680" s="19"/>
      <c r="F680" s="5"/>
      <c r="H680" s="19"/>
      <c r="Q680" s="5"/>
      <c r="R680" s="9"/>
    </row>
    <row r="681">
      <c r="A681" s="44"/>
      <c r="C681" s="5"/>
      <c r="E681" s="19"/>
      <c r="F681" s="5"/>
      <c r="H681" s="19"/>
      <c r="Q681" s="5"/>
      <c r="R681" s="9"/>
    </row>
    <row r="682">
      <c r="A682" s="44"/>
      <c r="C682" s="5"/>
      <c r="E682" s="19"/>
      <c r="F682" s="5"/>
      <c r="H682" s="19"/>
      <c r="Q682" s="5"/>
      <c r="R682" s="9"/>
    </row>
    <row r="683">
      <c r="A683" s="44"/>
      <c r="C683" s="5"/>
      <c r="E683" s="19"/>
      <c r="F683" s="5"/>
      <c r="H683" s="19"/>
      <c r="Q683" s="5"/>
      <c r="R683" s="9"/>
    </row>
    <row r="684">
      <c r="A684" s="44"/>
      <c r="C684" s="5"/>
      <c r="E684" s="19"/>
      <c r="F684" s="5"/>
      <c r="H684" s="19"/>
      <c r="Q684" s="5"/>
      <c r="R684" s="9"/>
    </row>
    <row r="685">
      <c r="A685" s="44"/>
      <c r="C685" s="5"/>
      <c r="E685" s="19"/>
      <c r="F685" s="5"/>
      <c r="H685" s="19"/>
      <c r="Q685" s="5"/>
      <c r="R685" s="9"/>
    </row>
    <row r="686">
      <c r="A686" s="44"/>
      <c r="C686" s="5"/>
      <c r="E686" s="19"/>
      <c r="F686" s="5"/>
      <c r="H686" s="19"/>
      <c r="Q686" s="5"/>
      <c r="R686" s="9"/>
    </row>
    <row r="687">
      <c r="A687" s="44"/>
      <c r="C687" s="5"/>
      <c r="E687" s="19"/>
      <c r="F687" s="5"/>
      <c r="H687" s="19"/>
      <c r="Q687" s="5"/>
      <c r="R687" s="9"/>
    </row>
    <row r="688">
      <c r="A688" s="44"/>
      <c r="C688" s="5"/>
      <c r="E688" s="19"/>
      <c r="F688" s="5"/>
      <c r="H688" s="19"/>
      <c r="Q688" s="5"/>
      <c r="R688" s="9"/>
    </row>
    <row r="689">
      <c r="A689" s="44"/>
      <c r="C689" s="5"/>
      <c r="E689" s="19"/>
      <c r="F689" s="5"/>
      <c r="H689" s="19"/>
      <c r="Q689" s="5"/>
      <c r="R689" s="9"/>
    </row>
    <row r="690">
      <c r="A690" s="44"/>
      <c r="C690" s="5"/>
      <c r="E690" s="19"/>
      <c r="F690" s="5"/>
      <c r="H690" s="19"/>
      <c r="Q690" s="5"/>
      <c r="R690" s="9"/>
    </row>
    <row r="691">
      <c r="A691" s="44"/>
      <c r="C691" s="5"/>
      <c r="E691" s="19"/>
      <c r="F691" s="5"/>
      <c r="H691" s="19"/>
      <c r="Q691" s="5"/>
      <c r="R691" s="9"/>
    </row>
    <row r="692">
      <c r="A692" s="44"/>
      <c r="C692" s="5"/>
      <c r="E692" s="19"/>
      <c r="F692" s="5"/>
      <c r="H692" s="19"/>
      <c r="Q692" s="5"/>
      <c r="R692" s="9"/>
    </row>
    <row r="693">
      <c r="A693" s="44"/>
      <c r="C693" s="5"/>
      <c r="E693" s="19"/>
      <c r="F693" s="5"/>
      <c r="H693" s="19"/>
      <c r="Q693" s="5"/>
      <c r="R693" s="9"/>
    </row>
    <row r="694">
      <c r="A694" s="44"/>
      <c r="C694" s="5"/>
      <c r="E694" s="19"/>
      <c r="F694" s="5"/>
      <c r="H694" s="19"/>
      <c r="Q694" s="5"/>
      <c r="R694" s="9"/>
    </row>
    <row r="695">
      <c r="A695" s="44"/>
      <c r="C695" s="5"/>
      <c r="E695" s="19"/>
      <c r="F695" s="5"/>
      <c r="H695" s="19"/>
      <c r="Q695" s="5"/>
      <c r="R695" s="9"/>
    </row>
    <row r="696">
      <c r="A696" s="44"/>
      <c r="C696" s="5"/>
      <c r="E696" s="19"/>
      <c r="F696" s="5"/>
      <c r="H696" s="19"/>
      <c r="Q696" s="5"/>
      <c r="R696" s="9"/>
    </row>
    <row r="697">
      <c r="A697" s="44"/>
      <c r="C697" s="5"/>
      <c r="E697" s="19"/>
      <c r="F697" s="5"/>
      <c r="H697" s="19"/>
      <c r="Q697" s="5"/>
      <c r="R697" s="9"/>
    </row>
    <row r="698">
      <c r="A698" s="44"/>
      <c r="C698" s="5"/>
      <c r="E698" s="19"/>
      <c r="F698" s="5"/>
      <c r="H698" s="19"/>
      <c r="Q698" s="5"/>
      <c r="R698" s="9"/>
    </row>
    <row r="699">
      <c r="A699" s="44"/>
      <c r="C699" s="5"/>
      <c r="E699" s="19"/>
      <c r="F699" s="5"/>
      <c r="H699" s="19"/>
      <c r="Q699" s="5"/>
      <c r="R699" s="9"/>
    </row>
    <row r="700">
      <c r="A700" s="44"/>
      <c r="C700" s="5"/>
      <c r="E700" s="19"/>
      <c r="F700" s="5"/>
      <c r="H700" s="19"/>
      <c r="Q700" s="5"/>
      <c r="R700" s="9"/>
    </row>
    <row r="701">
      <c r="A701" s="44"/>
      <c r="C701" s="5"/>
      <c r="E701" s="19"/>
      <c r="F701" s="5"/>
      <c r="H701" s="19"/>
      <c r="Q701" s="5"/>
      <c r="R701" s="9"/>
    </row>
    <row r="702">
      <c r="A702" s="44"/>
      <c r="C702" s="5"/>
      <c r="E702" s="19"/>
      <c r="F702" s="5"/>
      <c r="H702" s="19"/>
      <c r="Q702" s="5"/>
      <c r="R702" s="9"/>
    </row>
    <row r="703">
      <c r="A703" s="44"/>
      <c r="C703" s="5"/>
      <c r="E703" s="19"/>
      <c r="F703" s="5"/>
      <c r="H703" s="19"/>
      <c r="Q703" s="5"/>
      <c r="R703" s="9"/>
    </row>
    <row r="704">
      <c r="A704" s="44"/>
      <c r="C704" s="5"/>
      <c r="E704" s="19"/>
      <c r="F704" s="5"/>
      <c r="H704" s="19"/>
      <c r="Q704" s="5"/>
      <c r="R704" s="9"/>
    </row>
    <row r="705">
      <c r="A705" s="44"/>
      <c r="C705" s="5"/>
      <c r="E705" s="19"/>
      <c r="F705" s="5"/>
      <c r="H705" s="19"/>
      <c r="Q705" s="5"/>
      <c r="R705" s="9"/>
    </row>
    <row r="706">
      <c r="A706" s="44"/>
      <c r="C706" s="5"/>
      <c r="E706" s="19"/>
      <c r="F706" s="5"/>
      <c r="H706" s="19"/>
      <c r="Q706" s="5"/>
      <c r="R706" s="9"/>
    </row>
    <row r="707">
      <c r="A707" s="44"/>
      <c r="C707" s="5"/>
      <c r="E707" s="19"/>
      <c r="F707" s="5"/>
      <c r="H707" s="19"/>
      <c r="Q707" s="5"/>
      <c r="R707" s="9"/>
    </row>
    <row r="708">
      <c r="A708" s="44"/>
      <c r="C708" s="5"/>
      <c r="E708" s="19"/>
      <c r="F708" s="5"/>
      <c r="H708" s="19"/>
      <c r="Q708" s="5"/>
      <c r="R708" s="9"/>
    </row>
    <row r="709">
      <c r="A709" s="44"/>
      <c r="C709" s="5"/>
      <c r="E709" s="19"/>
      <c r="F709" s="5"/>
      <c r="H709" s="19"/>
      <c r="Q709" s="5"/>
      <c r="R709" s="9"/>
    </row>
    <row r="710">
      <c r="A710" s="44"/>
      <c r="C710" s="5"/>
      <c r="E710" s="19"/>
      <c r="F710" s="5"/>
      <c r="H710" s="19"/>
      <c r="Q710" s="5"/>
      <c r="R710" s="9"/>
    </row>
    <row r="711">
      <c r="A711" s="44"/>
      <c r="C711" s="5"/>
      <c r="E711" s="19"/>
      <c r="F711" s="5"/>
      <c r="H711" s="19"/>
      <c r="Q711" s="5"/>
      <c r="R711" s="9"/>
    </row>
    <row r="712">
      <c r="A712" s="44"/>
      <c r="C712" s="5"/>
      <c r="E712" s="19"/>
      <c r="F712" s="5"/>
      <c r="H712" s="19"/>
      <c r="Q712" s="5"/>
      <c r="R712" s="9"/>
    </row>
    <row r="713">
      <c r="A713" s="44"/>
      <c r="C713" s="5"/>
      <c r="E713" s="19"/>
      <c r="F713" s="5"/>
      <c r="H713" s="19"/>
      <c r="Q713" s="5"/>
      <c r="R713" s="9"/>
    </row>
    <row r="714">
      <c r="A714" s="44"/>
      <c r="C714" s="5"/>
      <c r="E714" s="19"/>
      <c r="F714" s="5"/>
      <c r="H714" s="19"/>
      <c r="Q714" s="5"/>
      <c r="R714" s="9"/>
    </row>
    <row r="715">
      <c r="A715" s="44"/>
      <c r="C715" s="5"/>
      <c r="E715" s="19"/>
      <c r="F715" s="5"/>
      <c r="H715" s="19"/>
      <c r="Q715" s="5"/>
      <c r="R715" s="9"/>
    </row>
    <row r="716">
      <c r="A716" s="44"/>
      <c r="C716" s="5"/>
      <c r="E716" s="19"/>
      <c r="F716" s="5"/>
      <c r="H716" s="19"/>
      <c r="Q716" s="5"/>
      <c r="R716" s="9"/>
    </row>
    <row r="717">
      <c r="A717" s="44"/>
      <c r="C717" s="5"/>
      <c r="E717" s="19"/>
      <c r="F717" s="5"/>
      <c r="H717" s="19"/>
      <c r="Q717" s="5"/>
      <c r="R717" s="9"/>
    </row>
    <row r="718">
      <c r="A718" s="44"/>
      <c r="C718" s="5"/>
      <c r="E718" s="19"/>
      <c r="F718" s="5"/>
      <c r="H718" s="19"/>
      <c r="Q718" s="5"/>
      <c r="R718" s="9"/>
    </row>
    <row r="719">
      <c r="A719" s="44"/>
      <c r="C719" s="5"/>
      <c r="E719" s="19"/>
      <c r="F719" s="5"/>
      <c r="H719" s="19"/>
      <c r="Q719" s="5"/>
      <c r="R719" s="9"/>
    </row>
    <row r="720">
      <c r="A720" s="44"/>
      <c r="C720" s="5"/>
      <c r="E720" s="19"/>
      <c r="F720" s="5"/>
      <c r="H720" s="19"/>
      <c r="Q720" s="5"/>
      <c r="R720" s="9"/>
    </row>
    <row r="721">
      <c r="A721" s="44"/>
      <c r="C721" s="5"/>
      <c r="E721" s="19"/>
      <c r="F721" s="5"/>
      <c r="H721" s="19"/>
      <c r="Q721" s="5"/>
      <c r="R721" s="9"/>
    </row>
    <row r="722">
      <c r="A722" s="44"/>
      <c r="C722" s="5"/>
      <c r="E722" s="19"/>
      <c r="F722" s="5"/>
      <c r="H722" s="19"/>
      <c r="Q722" s="5"/>
      <c r="R722" s="9"/>
    </row>
    <row r="723">
      <c r="A723" s="44"/>
      <c r="C723" s="5"/>
      <c r="E723" s="19"/>
      <c r="F723" s="5"/>
      <c r="H723" s="19"/>
      <c r="Q723" s="5"/>
      <c r="R723" s="9"/>
    </row>
    <row r="724">
      <c r="A724" s="44"/>
      <c r="C724" s="5"/>
      <c r="E724" s="19"/>
      <c r="F724" s="5"/>
      <c r="H724" s="19"/>
      <c r="Q724" s="5"/>
      <c r="R724" s="9"/>
    </row>
    <row r="725">
      <c r="A725" s="44"/>
      <c r="C725" s="5"/>
      <c r="E725" s="19"/>
      <c r="F725" s="5"/>
      <c r="H725" s="19"/>
      <c r="Q725" s="5"/>
      <c r="R725" s="9"/>
    </row>
    <row r="726">
      <c r="A726" s="44"/>
      <c r="C726" s="5"/>
      <c r="E726" s="19"/>
      <c r="F726" s="5"/>
      <c r="H726" s="19"/>
      <c r="Q726" s="5"/>
      <c r="R726" s="9"/>
    </row>
    <row r="727">
      <c r="A727" s="44"/>
      <c r="C727" s="5"/>
      <c r="E727" s="19"/>
      <c r="F727" s="5"/>
      <c r="H727" s="19"/>
      <c r="Q727" s="5"/>
      <c r="R727" s="9"/>
    </row>
    <row r="728">
      <c r="A728" s="44"/>
      <c r="C728" s="5"/>
      <c r="E728" s="19"/>
      <c r="F728" s="5"/>
      <c r="H728" s="19"/>
      <c r="Q728" s="5"/>
      <c r="R728" s="9"/>
    </row>
    <row r="729">
      <c r="A729" s="44"/>
      <c r="C729" s="5"/>
      <c r="E729" s="19"/>
      <c r="F729" s="5"/>
      <c r="H729" s="19"/>
      <c r="Q729" s="5"/>
      <c r="R729" s="9"/>
    </row>
    <row r="730">
      <c r="A730" s="44"/>
      <c r="C730" s="5"/>
      <c r="E730" s="19"/>
      <c r="F730" s="5"/>
      <c r="H730" s="19"/>
      <c r="Q730" s="5"/>
      <c r="R730" s="9"/>
    </row>
    <row r="731">
      <c r="A731" s="44"/>
      <c r="C731" s="5"/>
      <c r="E731" s="19"/>
      <c r="F731" s="5"/>
      <c r="H731" s="19"/>
      <c r="Q731" s="5"/>
      <c r="R731" s="9"/>
    </row>
    <row r="732">
      <c r="A732" s="44"/>
      <c r="C732" s="5"/>
      <c r="E732" s="19"/>
      <c r="F732" s="5"/>
      <c r="H732" s="19"/>
      <c r="Q732" s="5"/>
      <c r="R732" s="9"/>
    </row>
    <row r="733">
      <c r="A733" s="44"/>
      <c r="C733" s="5"/>
      <c r="E733" s="19"/>
      <c r="F733" s="5"/>
      <c r="H733" s="19"/>
      <c r="Q733" s="5"/>
      <c r="R733" s="9"/>
    </row>
    <row r="734">
      <c r="A734" s="44"/>
      <c r="C734" s="5"/>
      <c r="E734" s="19"/>
      <c r="F734" s="5"/>
      <c r="H734" s="19"/>
      <c r="Q734" s="5"/>
      <c r="R734" s="9"/>
    </row>
    <row r="735">
      <c r="A735" s="44"/>
      <c r="C735" s="5"/>
      <c r="E735" s="19"/>
      <c r="F735" s="5"/>
      <c r="H735" s="19"/>
      <c r="Q735" s="5"/>
      <c r="R735" s="9"/>
    </row>
    <row r="736">
      <c r="A736" s="44"/>
      <c r="C736" s="5"/>
      <c r="E736" s="19"/>
      <c r="F736" s="5"/>
      <c r="H736" s="19"/>
      <c r="Q736" s="5"/>
      <c r="R736" s="9"/>
    </row>
    <row r="737">
      <c r="A737" s="44"/>
      <c r="C737" s="5"/>
      <c r="E737" s="19"/>
      <c r="F737" s="5"/>
      <c r="H737" s="19"/>
      <c r="Q737" s="5"/>
      <c r="R737" s="9"/>
    </row>
    <row r="738">
      <c r="A738" s="44"/>
      <c r="C738" s="5"/>
      <c r="E738" s="19"/>
      <c r="F738" s="5"/>
      <c r="H738" s="19"/>
      <c r="Q738" s="5"/>
      <c r="R738" s="9"/>
    </row>
    <row r="739">
      <c r="A739" s="44"/>
      <c r="C739" s="5"/>
      <c r="E739" s="19"/>
      <c r="F739" s="5"/>
      <c r="H739" s="19"/>
      <c r="Q739" s="5"/>
      <c r="R739" s="9"/>
    </row>
    <row r="740">
      <c r="A740" s="44"/>
      <c r="C740" s="5"/>
      <c r="E740" s="19"/>
      <c r="F740" s="5"/>
      <c r="H740" s="19"/>
      <c r="Q740" s="5"/>
      <c r="R740" s="9"/>
    </row>
    <row r="741">
      <c r="A741" s="44"/>
      <c r="C741" s="5"/>
      <c r="E741" s="19"/>
      <c r="F741" s="5"/>
      <c r="H741" s="19"/>
      <c r="Q741" s="5"/>
      <c r="R741" s="9"/>
    </row>
    <row r="742">
      <c r="A742" s="44"/>
      <c r="C742" s="5"/>
      <c r="E742" s="19"/>
      <c r="F742" s="5"/>
      <c r="H742" s="19"/>
      <c r="Q742" s="5"/>
      <c r="R742" s="9"/>
    </row>
    <row r="743">
      <c r="A743" s="44"/>
      <c r="C743" s="5"/>
      <c r="E743" s="19"/>
      <c r="F743" s="5"/>
      <c r="H743" s="19"/>
      <c r="Q743" s="5"/>
      <c r="R743" s="9"/>
    </row>
    <row r="744">
      <c r="A744" s="44"/>
      <c r="C744" s="5"/>
      <c r="E744" s="19"/>
      <c r="F744" s="5"/>
      <c r="H744" s="19"/>
      <c r="Q744" s="5"/>
      <c r="R744" s="9"/>
    </row>
    <row r="745">
      <c r="A745" s="44"/>
      <c r="C745" s="5"/>
      <c r="E745" s="19"/>
      <c r="F745" s="5"/>
      <c r="H745" s="19"/>
      <c r="Q745" s="5"/>
      <c r="R745" s="9"/>
    </row>
    <row r="746">
      <c r="A746" s="44"/>
      <c r="C746" s="5"/>
      <c r="E746" s="19"/>
      <c r="F746" s="5"/>
      <c r="H746" s="19"/>
      <c r="Q746" s="5"/>
      <c r="R746" s="9"/>
    </row>
    <row r="747">
      <c r="A747" s="44"/>
      <c r="C747" s="5"/>
      <c r="E747" s="19"/>
      <c r="F747" s="5"/>
      <c r="H747" s="19"/>
      <c r="Q747" s="5"/>
      <c r="R747" s="9"/>
    </row>
    <row r="748">
      <c r="A748" s="44"/>
      <c r="C748" s="5"/>
      <c r="E748" s="19"/>
      <c r="F748" s="5"/>
      <c r="H748" s="19"/>
      <c r="Q748" s="5"/>
      <c r="R748" s="9"/>
    </row>
    <row r="749">
      <c r="A749" s="44"/>
      <c r="C749" s="5"/>
      <c r="E749" s="19"/>
      <c r="F749" s="5"/>
      <c r="H749" s="19"/>
      <c r="Q749" s="5"/>
      <c r="R749" s="9"/>
    </row>
    <row r="750">
      <c r="A750" s="44"/>
      <c r="C750" s="5"/>
      <c r="E750" s="19"/>
      <c r="F750" s="5"/>
      <c r="H750" s="19"/>
      <c r="Q750" s="5"/>
      <c r="R750" s="9"/>
    </row>
    <row r="751">
      <c r="A751" s="44"/>
      <c r="C751" s="5"/>
      <c r="E751" s="19"/>
      <c r="F751" s="5"/>
      <c r="H751" s="19"/>
      <c r="Q751" s="5"/>
      <c r="R751" s="9"/>
    </row>
    <row r="752">
      <c r="A752" s="44"/>
      <c r="C752" s="5"/>
      <c r="E752" s="19"/>
      <c r="F752" s="5"/>
      <c r="H752" s="19"/>
      <c r="Q752" s="5"/>
      <c r="R752" s="9"/>
    </row>
    <row r="753">
      <c r="A753" s="44"/>
      <c r="C753" s="5"/>
      <c r="E753" s="19"/>
      <c r="F753" s="5"/>
      <c r="H753" s="19"/>
      <c r="Q753" s="5"/>
      <c r="R753" s="9"/>
    </row>
    <row r="754">
      <c r="A754" s="44"/>
      <c r="C754" s="5"/>
      <c r="E754" s="19"/>
      <c r="F754" s="5"/>
      <c r="H754" s="19"/>
      <c r="Q754" s="5"/>
      <c r="R754" s="9"/>
    </row>
    <row r="755">
      <c r="A755" s="44"/>
      <c r="C755" s="5"/>
      <c r="E755" s="19"/>
      <c r="F755" s="5"/>
      <c r="H755" s="19"/>
      <c r="Q755" s="5"/>
      <c r="R755" s="9"/>
    </row>
    <row r="756">
      <c r="A756" s="44"/>
      <c r="C756" s="5"/>
      <c r="E756" s="19"/>
      <c r="F756" s="5"/>
      <c r="H756" s="19"/>
      <c r="Q756" s="5"/>
      <c r="R756" s="9"/>
    </row>
    <row r="757">
      <c r="A757" s="44"/>
      <c r="C757" s="5"/>
      <c r="E757" s="19"/>
      <c r="F757" s="5"/>
      <c r="H757" s="19"/>
      <c r="Q757" s="5"/>
      <c r="R757" s="9"/>
    </row>
    <row r="758">
      <c r="A758" s="44"/>
      <c r="C758" s="5"/>
      <c r="E758" s="19"/>
      <c r="F758" s="5"/>
      <c r="H758" s="19"/>
      <c r="Q758" s="5"/>
      <c r="R758" s="9"/>
    </row>
    <row r="759">
      <c r="A759" s="44"/>
      <c r="C759" s="5"/>
      <c r="E759" s="19"/>
      <c r="F759" s="5"/>
      <c r="H759" s="19"/>
      <c r="Q759" s="5"/>
      <c r="R759" s="9"/>
    </row>
    <row r="760">
      <c r="A760" s="44"/>
      <c r="C760" s="5"/>
      <c r="E760" s="19"/>
      <c r="F760" s="5"/>
      <c r="H760" s="19"/>
      <c r="Q760" s="5"/>
      <c r="R760" s="9"/>
    </row>
    <row r="761">
      <c r="A761" s="44"/>
      <c r="C761" s="5"/>
      <c r="E761" s="19"/>
      <c r="F761" s="5"/>
      <c r="H761" s="19"/>
      <c r="Q761" s="5"/>
      <c r="R761" s="9"/>
    </row>
    <row r="762">
      <c r="A762" s="44"/>
      <c r="C762" s="5"/>
      <c r="E762" s="19"/>
      <c r="F762" s="5"/>
      <c r="H762" s="19"/>
      <c r="Q762" s="5"/>
      <c r="R762" s="9"/>
    </row>
    <row r="763">
      <c r="A763" s="44"/>
      <c r="C763" s="5"/>
      <c r="E763" s="19"/>
      <c r="F763" s="5"/>
      <c r="H763" s="19"/>
      <c r="Q763" s="5"/>
      <c r="R763" s="9"/>
    </row>
    <row r="764">
      <c r="A764" s="44"/>
      <c r="C764" s="5"/>
      <c r="E764" s="19"/>
      <c r="F764" s="5"/>
      <c r="H764" s="19"/>
      <c r="Q764" s="5"/>
      <c r="R764" s="9"/>
    </row>
    <row r="765">
      <c r="A765" s="44"/>
      <c r="C765" s="5"/>
      <c r="E765" s="19"/>
      <c r="F765" s="5"/>
      <c r="H765" s="19"/>
      <c r="Q765" s="5"/>
      <c r="R765" s="9"/>
    </row>
    <row r="766">
      <c r="A766" s="44"/>
      <c r="C766" s="5"/>
      <c r="E766" s="19"/>
      <c r="F766" s="5"/>
      <c r="H766" s="19"/>
      <c r="Q766" s="5"/>
      <c r="R766" s="9"/>
    </row>
    <row r="767">
      <c r="A767" s="44"/>
      <c r="C767" s="5"/>
      <c r="E767" s="19"/>
      <c r="F767" s="5"/>
      <c r="H767" s="19"/>
      <c r="Q767" s="5"/>
      <c r="R767" s="9"/>
    </row>
    <row r="768">
      <c r="A768" s="44"/>
      <c r="C768" s="5"/>
      <c r="E768" s="19"/>
      <c r="F768" s="5"/>
      <c r="H768" s="19"/>
      <c r="Q768" s="5"/>
      <c r="R768" s="9"/>
    </row>
    <row r="769">
      <c r="A769" s="44"/>
      <c r="C769" s="5"/>
      <c r="E769" s="19"/>
      <c r="F769" s="5"/>
      <c r="H769" s="19"/>
      <c r="Q769" s="5"/>
      <c r="R769" s="9"/>
    </row>
    <row r="770">
      <c r="A770" s="44"/>
      <c r="C770" s="5"/>
      <c r="E770" s="19"/>
      <c r="F770" s="5"/>
      <c r="H770" s="19"/>
      <c r="Q770" s="5"/>
      <c r="R770" s="9"/>
    </row>
    <row r="771">
      <c r="A771" s="44"/>
      <c r="C771" s="5"/>
      <c r="E771" s="19"/>
      <c r="F771" s="5"/>
      <c r="H771" s="19"/>
      <c r="Q771" s="5"/>
      <c r="R771" s="9"/>
    </row>
    <row r="772">
      <c r="A772" s="44"/>
      <c r="C772" s="5"/>
      <c r="E772" s="19"/>
      <c r="F772" s="5"/>
      <c r="H772" s="19"/>
      <c r="Q772" s="5"/>
      <c r="R772" s="9"/>
    </row>
    <row r="773">
      <c r="A773" s="44"/>
      <c r="C773" s="5"/>
      <c r="E773" s="19"/>
      <c r="F773" s="5"/>
      <c r="H773" s="19"/>
      <c r="Q773" s="5"/>
      <c r="R773" s="9"/>
    </row>
    <row r="774">
      <c r="A774" s="44"/>
      <c r="C774" s="5"/>
      <c r="E774" s="19"/>
      <c r="F774" s="5"/>
      <c r="H774" s="19"/>
      <c r="Q774" s="5"/>
      <c r="R774" s="9"/>
    </row>
    <row r="775">
      <c r="A775" s="44"/>
      <c r="C775" s="5"/>
      <c r="E775" s="19"/>
      <c r="F775" s="5"/>
      <c r="H775" s="19"/>
      <c r="Q775" s="5"/>
      <c r="R775" s="9"/>
    </row>
    <row r="776">
      <c r="A776" s="44"/>
      <c r="C776" s="5"/>
      <c r="E776" s="19"/>
      <c r="F776" s="5"/>
      <c r="H776" s="19"/>
      <c r="Q776" s="5"/>
      <c r="R776" s="9"/>
    </row>
    <row r="777">
      <c r="A777" s="44"/>
      <c r="C777" s="5"/>
      <c r="E777" s="19"/>
      <c r="F777" s="5"/>
      <c r="H777" s="19"/>
      <c r="Q777" s="5"/>
      <c r="R777" s="9"/>
    </row>
    <row r="778">
      <c r="A778" s="44"/>
      <c r="C778" s="5"/>
      <c r="E778" s="19"/>
      <c r="F778" s="5"/>
      <c r="H778" s="19"/>
      <c r="Q778" s="5"/>
      <c r="R778" s="9"/>
    </row>
    <row r="779">
      <c r="A779" s="44"/>
      <c r="C779" s="5"/>
      <c r="E779" s="19"/>
      <c r="F779" s="5"/>
      <c r="H779" s="19"/>
      <c r="Q779" s="5"/>
      <c r="R779" s="9"/>
    </row>
    <row r="780">
      <c r="A780" s="44"/>
      <c r="C780" s="5"/>
      <c r="E780" s="19"/>
      <c r="F780" s="5"/>
      <c r="H780" s="19"/>
      <c r="Q780" s="5"/>
      <c r="R780" s="9"/>
    </row>
    <row r="781">
      <c r="A781" s="44"/>
      <c r="C781" s="5"/>
      <c r="E781" s="19"/>
      <c r="F781" s="5"/>
      <c r="H781" s="19"/>
      <c r="Q781" s="5"/>
      <c r="R781" s="9"/>
    </row>
    <row r="782">
      <c r="A782" s="44"/>
      <c r="C782" s="5"/>
      <c r="E782" s="19"/>
      <c r="F782" s="5"/>
      <c r="H782" s="19"/>
      <c r="Q782" s="5"/>
      <c r="R782" s="9"/>
    </row>
    <row r="783">
      <c r="A783" s="44"/>
      <c r="C783" s="5"/>
      <c r="E783" s="19"/>
      <c r="F783" s="5"/>
      <c r="H783" s="19"/>
      <c r="Q783" s="5"/>
      <c r="R783" s="9"/>
    </row>
    <row r="784">
      <c r="A784" s="44"/>
      <c r="C784" s="5"/>
      <c r="E784" s="19"/>
      <c r="F784" s="5"/>
      <c r="H784" s="19"/>
      <c r="Q784" s="5"/>
      <c r="R784" s="9"/>
    </row>
    <row r="785">
      <c r="A785" s="44"/>
      <c r="C785" s="5"/>
      <c r="E785" s="19"/>
      <c r="F785" s="5"/>
      <c r="H785" s="19"/>
      <c r="Q785" s="5"/>
      <c r="R785" s="9"/>
    </row>
    <row r="786">
      <c r="A786" s="44"/>
      <c r="C786" s="5"/>
      <c r="E786" s="19"/>
      <c r="F786" s="5"/>
      <c r="H786" s="19"/>
      <c r="Q786" s="5"/>
      <c r="R786" s="9"/>
    </row>
    <row r="787">
      <c r="A787" s="44"/>
      <c r="C787" s="5"/>
      <c r="E787" s="19"/>
      <c r="F787" s="5"/>
      <c r="H787" s="19"/>
      <c r="Q787" s="5"/>
      <c r="R787" s="9"/>
    </row>
    <row r="788">
      <c r="A788" s="44"/>
      <c r="C788" s="5"/>
      <c r="E788" s="19"/>
      <c r="F788" s="5"/>
      <c r="H788" s="19"/>
      <c r="Q788" s="5"/>
      <c r="R788" s="9"/>
    </row>
    <row r="789">
      <c r="A789" s="44"/>
      <c r="C789" s="5"/>
      <c r="E789" s="19"/>
      <c r="F789" s="5"/>
      <c r="H789" s="19"/>
      <c r="Q789" s="5"/>
      <c r="R789" s="9"/>
    </row>
    <row r="790">
      <c r="A790" s="44"/>
      <c r="C790" s="5"/>
      <c r="E790" s="19"/>
      <c r="F790" s="5"/>
      <c r="H790" s="19"/>
      <c r="Q790" s="5"/>
      <c r="R790" s="9"/>
    </row>
    <row r="791">
      <c r="A791" s="44"/>
      <c r="C791" s="5"/>
      <c r="E791" s="19"/>
      <c r="F791" s="5"/>
      <c r="H791" s="19"/>
      <c r="Q791" s="5"/>
      <c r="R791" s="9"/>
    </row>
    <row r="792">
      <c r="A792" s="44"/>
      <c r="C792" s="5"/>
      <c r="E792" s="19"/>
      <c r="F792" s="5"/>
      <c r="H792" s="19"/>
      <c r="Q792" s="5"/>
      <c r="R792" s="9"/>
    </row>
    <row r="793">
      <c r="A793" s="44"/>
      <c r="C793" s="5"/>
      <c r="E793" s="19"/>
      <c r="F793" s="5"/>
      <c r="H793" s="19"/>
      <c r="Q793" s="5"/>
      <c r="R793" s="9"/>
    </row>
    <row r="794">
      <c r="A794" s="44"/>
      <c r="C794" s="5"/>
      <c r="E794" s="19"/>
      <c r="F794" s="5"/>
      <c r="H794" s="19"/>
      <c r="Q794" s="5"/>
      <c r="R794" s="9"/>
    </row>
    <row r="795">
      <c r="A795" s="44"/>
      <c r="C795" s="5"/>
      <c r="E795" s="19"/>
      <c r="F795" s="5"/>
      <c r="H795" s="19"/>
      <c r="Q795" s="5"/>
      <c r="R795" s="9"/>
    </row>
    <row r="796">
      <c r="A796" s="44"/>
      <c r="C796" s="5"/>
      <c r="E796" s="19"/>
      <c r="F796" s="5"/>
      <c r="H796" s="19"/>
      <c r="Q796" s="5"/>
      <c r="R796" s="9"/>
    </row>
    <row r="797">
      <c r="A797" s="44"/>
      <c r="C797" s="5"/>
      <c r="E797" s="19"/>
      <c r="F797" s="5"/>
      <c r="H797" s="19"/>
      <c r="Q797" s="5"/>
      <c r="R797" s="9"/>
    </row>
    <row r="798">
      <c r="A798" s="44"/>
      <c r="C798" s="5"/>
      <c r="E798" s="19"/>
      <c r="F798" s="5"/>
      <c r="H798" s="19"/>
      <c r="Q798" s="5"/>
      <c r="R798" s="9"/>
    </row>
    <row r="799">
      <c r="A799" s="44"/>
      <c r="C799" s="5"/>
      <c r="E799" s="19"/>
      <c r="F799" s="5"/>
      <c r="H799" s="19"/>
      <c r="Q799" s="5"/>
      <c r="R799" s="9"/>
    </row>
    <row r="800">
      <c r="A800" s="44"/>
      <c r="C800" s="5"/>
      <c r="E800" s="19"/>
      <c r="F800" s="5"/>
      <c r="H800" s="19"/>
      <c r="Q800" s="5"/>
      <c r="R800" s="9"/>
    </row>
    <row r="801">
      <c r="A801" s="44"/>
      <c r="C801" s="5"/>
      <c r="E801" s="19"/>
      <c r="F801" s="5"/>
      <c r="H801" s="19"/>
      <c r="Q801" s="5"/>
      <c r="R801" s="9"/>
    </row>
    <row r="802">
      <c r="A802" s="44"/>
      <c r="C802" s="5"/>
      <c r="E802" s="19"/>
      <c r="F802" s="5"/>
      <c r="H802" s="19"/>
      <c r="Q802" s="5"/>
      <c r="R802" s="9"/>
    </row>
    <row r="803">
      <c r="A803" s="44"/>
      <c r="C803" s="5"/>
      <c r="E803" s="19"/>
      <c r="F803" s="5"/>
      <c r="H803" s="19"/>
      <c r="Q803" s="5"/>
      <c r="R803" s="9"/>
    </row>
    <row r="804">
      <c r="A804" s="44"/>
      <c r="C804" s="5"/>
      <c r="E804" s="19"/>
      <c r="F804" s="5"/>
      <c r="H804" s="19"/>
      <c r="Q804" s="5"/>
      <c r="R804" s="9"/>
    </row>
    <row r="805">
      <c r="A805" s="44"/>
      <c r="C805" s="5"/>
      <c r="E805" s="19"/>
      <c r="F805" s="5"/>
      <c r="H805" s="19"/>
      <c r="Q805" s="5"/>
      <c r="R805" s="9"/>
    </row>
    <row r="806">
      <c r="A806" s="44"/>
      <c r="C806" s="5"/>
      <c r="E806" s="19"/>
      <c r="F806" s="5"/>
      <c r="H806" s="19"/>
      <c r="Q806" s="5"/>
      <c r="R806" s="9"/>
    </row>
    <row r="807">
      <c r="A807" s="44"/>
      <c r="C807" s="5"/>
      <c r="E807" s="19"/>
      <c r="F807" s="5"/>
      <c r="H807" s="19"/>
      <c r="Q807" s="5"/>
      <c r="R807" s="9"/>
    </row>
    <row r="808">
      <c r="A808" s="44"/>
      <c r="C808" s="5"/>
      <c r="E808" s="19"/>
      <c r="F808" s="5"/>
      <c r="H808" s="19"/>
      <c r="Q808" s="5"/>
      <c r="R808" s="9"/>
    </row>
    <row r="809">
      <c r="A809" s="44"/>
      <c r="C809" s="5"/>
      <c r="E809" s="19"/>
      <c r="F809" s="5"/>
      <c r="H809" s="19"/>
      <c r="Q809" s="5"/>
      <c r="R809" s="9"/>
    </row>
    <row r="810">
      <c r="A810" s="44"/>
      <c r="C810" s="5"/>
      <c r="E810" s="19"/>
      <c r="F810" s="5"/>
      <c r="H810" s="19"/>
      <c r="Q810" s="5"/>
      <c r="R810" s="9"/>
    </row>
    <row r="811">
      <c r="A811" s="44"/>
      <c r="C811" s="5"/>
      <c r="E811" s="19"/>
      <c r="F811" s="5"/>
      <c r="H811" s="19"/>
      <c r="Q811" s="5"/>
      <c r="R811" s="9"/>
    </row>
    <row r="812">
      <c r="A812" s="44"/>
      <c r="C812" s="5"/>
      <c r="E812" s="19"/>
      <c r="F812" s="5"/>
      <c r="H812" s="19"/>
      <c r="Q812" s="5"/>
      <c r="R812" s="9"/>
    </row>
    <row r="813">
      <c r="A813" s="44"/>
      <c r="C813" s="5"/>
      <c r="E813" s="19"/>
      <c r="F813" s="5"/>
      <c r="H813" s="19"/>
      <c r="Q813" s="5"/>
      <c r="R813" s="9"/>
    </row>
    <row r="814">
      <c r="A814" s="44"/>
      <c r="C814" s="5"/>
      <c r="E814" s="19"/>
      <c r="F814" s="5"/>
      <c r="H814" s="19"/>
      <c r="Q814" s="5"/>
      <c r="R814" s="9"/>
    </row>
    <row r="815">
      <c r="A815" s="44"/>
      <c r="C815" s="5"/>
      <c r="E815" s="19"/>
      <c r="F815" s="5"/>
      <c r="H815" s="19"/>
      <c r="Q815" s="5"/>
      <c r="R815" s="9"/>
    </row>
    <row r="816">
      <c r="A816" s="44"/>
      <c r="C816" s="5"/>
      <c r="E816" s="19"/>
      <c r="F816" s="5"/>
      <c r="H816" s="19"/>
      <c r="Q816" s="5"/>
      <c r="R816" s="9"/>
    </row>
    <row r="817">
      <c r="A817" s="44"/>
      <c r="C817" s="5"/>
      <c r="E817" s="19"/>
      <c r="F817" s="5"/>
      <c r="H817" s="19"/>
      <c r="Q817" s="5"/>
      <c r="R817" s="9"/>
    </row>
    <row r="818">
      <c r="A818" s="44"/>
      <c r="C818" s="5"/>
      <c r="E818" s="19"/>
      <c r="F818" s="5"/>
      <c r="H818" s="19"/>
      <c r="Q818" s="5"/>
      <c r="R818" s="9"/>
    </row>
    <row r="819">
      <c r="A819" s="44"/>
      <c r="C819" s="5"/>
      <c r="E819" s="19"/>
      <c r="F819" s="5"/>
      <c r="H819" s="19"/>
      <c r="Q819" s="5"/>
      <c r="R819" s="9"/>
    </row>
    <row r="820">
      <c r="A820" s="44"/>
      <c r="C820" s="5"/>
      <c r="E820" s="19"/>
      <c r="F820" s="5"/>
      <c r="H820" s="19"/>
      <c r="Q820" s="5"/>
      <c r="R820" s="9"/>
    </row>
    <row r="821">
      <c r="A821" s="44"/>
      <c r="C821" s="5"/>
      <c r="E821" s="19"/>
      <c r="F821" s="5"/>
      <c r="H821" s="19"/>
      <c r="Q821" s="5"/>
      <c r="R821" s="9"/>
    </row>
    <row r="822">
      <c r="A822" s="44"/>
      <c r="C822" s="5"/>
      <c r="E822" s="19"/>
      <c r="F822" s="5"/>
      <c r="H822" s="19"/>
      <c r="Q822" s="5"/>
      <c r="R822" s="9"/>
    </row>
    <row r="823">
      <c r="A823" s="44"/>
      <c r="C823" s="5"/>
      <c r="E823" s="19"/>
      <c r="F823" s="5"/>
      <c r="H823" s="19"/>
      <c r="Q823" s="5"/>
      <c r="R823" s="9"/>
    </row>
    <row r="824">
      <c r="A824" s="44"/>
      <c r="C824" s="5"/>
      <c r="E824" s="19"/>
      <c r="F824" s="5"/>
      <c r="H824" s="19"/>
      <c r="Q824" s="5"/>
      <c r="R824" s="9"/>
    </row>
    <row r="825">
      <c r="A825" s="44"/>
      <c r="C825" s="5"/>
      <c r="E825" s="19"/>
      <c r="F825" s="5"/>
      <c r="H825" s="19"/>
      <c r="Q825" s="5"/>
      <c r="R825" s="9"/>
    </row>
    <row r="826">
      <c r="A826" s="44"/>
      <c r="C826" s="5"/>
      <c r="E826" s="19"/>
      <c r="F826" s="5"/>
      <c r="H826" s="19"/>
      <c r="Q826" s="5"/>
      <c r="R826" s="9"/>
    </row>
    <row r="827">
      <c r="A827" s="44"/>
      <c r="C827" s="5"/>
      <c r="E827" s="19"/>
      <c r="F827" s="5"/>
      <c r="H827" s="19"/>
      <c r="Q827" s="5"/>
      <c r="R827" s="9"/>
    </row>
    <row r="828">
      <c r="A828" s="44"/>
      <c r="C828" s="5"/>
      <c r="E828" s="19"/>
      <c r="F828" s="5"/>
      <c r="H828" s="19"/>
      <c r="Q828" s="5"/>
      <c r="R828" s="9"/>
    </row>
    <row r="829">
      <c r="A829" s="44"/>
      <c r="C829" s="5"/>
      <c r="E829" s="19"/>
      <c r="F829" s="5"/>
      <c r="H829" s="19"/>
      <c r="Q829" s="5"/>
      <c r="R829" s="9"/>
    </row>
    <row r="830">
      <c r="A830" s="44"/>
      <c r="C830" s="5"/>
      <c r="E830" s="19"/>
      <c r="F830" s="5"/>
      <c r="H830" s="19"/>
      <c r="Q830" s="5"/>
      <c r="R830" s="9"/>
    </row>
    <row r="831">
      <c r="A831" s="44"/>
      <c r="C831" s="5"/>
      <c r="E831" s="19"/>
      <c r="F831" s="5"/>
      <c r="H831" s="19"/>
      <c r="Q831" s="5"/>
      <c r="R831" s="9"/>
    </row>
    <row r="832">
      <c r="A832" s="44"/>
      <c r="C832" s="5"/>
      <c r="E832" s="19"/>
      <c r="F832" s="5"/>
      <c r="H832" s="19"/>
      <c r="Q832" s="5"/>
      <c r="R832" s="9"/>
    </row>
    <row r="833">
      <c r="A833" s="44"/>
      <c r="C833" s="5"/>
      <c r="E833" s="19"/>
      <c r="F833" s="5"/>
      <c r="H833" s="19"/>
      <c r="Q833" s="5"/>
      <c r="R833" s="9"/>
    </row>
    <row r="834">
      <c r="A834" s="44"/>
      <c r="C834" s="5"/>
      <c r="E834" s="19"/>
      <c r="F834" s="5"/>
      <c r="H834" s="19"/>
      <c r="Q834" s="5"/>
      <c r="R834" s="9"/>
    </row>
    <row r="835">
      <c r="A835" s="44"/>
      <c r="C835" s="5"/>
      <c r="E835" s="19"/>
      <c r="F835" s="5"/>
      <c r="H835" s="19"/>
      <c r="Q835" s="5"/>
      <c r="R835" s="9"/>
    </row>
    <row r="836">
      <c r="A836" s="44"/>
      <c r="C836" s="5"/>
      <c r="E836" s="19"/>
      <c r="F836" s="5"/>
      <c r="H836" s="19"/>
      <c r="Q836" s="5"/>
      <c r="R836" s="9"/>
    </row>
    <row r="837">
      <c r="A837" s="44"/>
      <c r="C837" s="5"/>
      <c r="E837" s="19"/>
      <c r="F837" s="5"/>
      <c r="H837" s="19"/>
      <c r="Q837" s="5"/>
      <c r="R837" s="9"/>
    </row>
    <row r="838">
      <c r="A838" s="44"/>
      <c r="C838" s="5"/>
      <c r="E838" s="19"/>
      <c r="F838" s="5"/>
      <c r="H838" s="19"/>
      <c r="Q838" s="5"/>
      <c r="R838" s="9"/>
    </row>
    <row r="839">
      <c r="A839" s="44"/>
      <c r="C839" s="5"/>
      <c r="E839" s="19"/>
      <c r="F839" s="5"/>
      <c r="H839" s="19"/>
      <c r="Q839" s="5"/>
      <c r="R839" s="9"/>
    </row>
    <row r="840">
      <c r="A840" s="44"/>
      <c r="C840" s="5"/>
      <c r="E840" s="19"/>
      <c r="F840" s="5"/>
      <c r="H840" s="19"/>
      <c r="Q840" s="5"/>
      <c r="R840" s="9"/>
    </row>
    <row r="841">
      <c r="A841" s="44"/>
      <c r="C841" s="5"/>
      <c r="E841" s="19"/>
      <c r="F841" s="5"/>
      <c r="H841" s="19"/>
      <c r="Q841" s="5"/>
      <c r="R841" s="9"/>
    </row>
    <row r="842">
      <c r="A842" s="44"/>
      <c r="C842" s="5"/>
      <c r="E842" s="19"/>
      <c r="F842" s="5"/>
      <c r="H842" s="19"/>
      <c r="Q842" s="5"/>
      <c r="R842" s="9"/>
    </row>
    <row r="843">
      <c r="A843" s="44"/>
      <c r="C843" s="5"/>
      <c r="E843" s="19"/>
      <c r="F843" s="5"/>
      <c r="H843" s="19"/>
      <c r="Q843" s="5"/>
      <c r="R843" s="9"/>
    </row>
    <row r="844">
      <c r="A844" s="44"/>
      <c r="C844" s="5"/>
      <c r="E844" s="19"/>
      <c r="F844" s="5"/>
      <c r="H844" s="19"/>
      <c r="Q844" s="5"/>
      <c r="R844" s="9"/>
    </row>
    <row r="845">
      <c r="A845" s="44"/>
      <c r="C845" s="5"/>
      <c r="E845" s="19"/>
      <c r="F845" s="5"/>
      <c r="H845" s="19"/>
      <c r="Q845" s="5"/>
      <c r="R845" s="9"/>
    </row>
    <row r="846">
      <c r="A846" s="44"/>
      <c r="C846" s="5"/>
      <c r="E846" s="19"/>
      <c r="F846" s="5"/>
      <c r="H846" s="19"/>
      <c r="Q846" s="5"/>
      <c r="R846" s="9"/>
    </row>
    <row r="847">
      <c r="A847" s="44"/>
      <c r="C847" s="5"/>
      <c r="E847" s="19"/>
      <c r="F847" s="5"/>
      <c r="H847" s="19"/>
      <c r="Q847" s="5"/>
      <c r="R847" s="9"/>
    </row>
    <row r="848">
      <c r="A848" s="44"/>
      <c r="C848" s="5"/>
      <c r="E848" s="19"/>
      <c r="F848" s="5"/>
      <c r="H848" s="19"/>
      <c r="Q848" s="5"/>
      <c r="R848" s="9"/>
    </row>
    <row r="849">
      <c r="A849" s="44"/>
      <c r="C849" s="5"/>
      <c r="E849" s="19"/>
      <c r="F849" s="5"/>
      <c r="H849" s="19"/>
      <c r="Q849" s="5"/>
      <c r="R849" s="9"/>
    </row>
    <row r="850">
      <c r="A850" s="44"/>
      <c r="C850" s="5"/>
      <c r="E850" s="19"/>
      <c r="F850" s="5"/>
      <c r="H850" s="19"/>
      <c r="Q850" s="5"/>
      <c r="R850" s="9"/>
    </row>
    <row r="851">
      <c r="A851" s="44"/>
      <c r="C851" s="5"/>
      <c r="E851" s="19"/>
      <c r="F851" s="5"/>
      <c r="H851" s="19"/>
      <c r="Q851" s="5"/>
      <c r="R851" s="9"/>
    </row>
    <row r="852">
      <c r="A852" s="44"/>
      <c r="C852" s="5"/>
      <c r="E852" s="19"/>
      <c r="F852" s="5"/>
      <c r="H852" s="19"/>
      <c r="Q852" s="5"/>
      <c r="R852" s="9"/>
    </row>
    <row r="853">
      <c r="A853" s="44"/>
      <c r="C853" s="5"/>
      <c r="E853" s="19"/>
      <c r="F853" s="5"/>
      <c r="H853" s="19"/>
      <c r="Q853" s="5"/>
      <c r="R853" s="9"/>
    </row>
    <row r="854">
      <c r="A854" s="44"/>
      <c r="C854" s="5"/>
      <c r="E854" s="19"/>
      <c r="F854" s="5"/>
      <c r="H854" s="19"/>
      <c r="Q854" s="5"/>
      <c r="R854" s="9"/>
    </row>
    <row r="855">
      <c r="A855" s="44"/>
      <c r="C855" s="5"/>
      <c r="E855" s="19"/>
      <c r="F855" s="5"/>
      <c r="H855" s="19"/>
      <c r="Q855" s="5"/>
      <c r="R855" s="9"/>
    </row>
    <row r="856">
      <c r="A856" s="44"/>
      <c r="C856" s="5"/>
      <c r="E856" s="19"/>
      <c r="F856" s="5"/>
      <c r="H856" s="19"/>
      <c r="Q856" s="5"/>
      <c r="R856" s="9"/>
    </row>
    <row r="857">
      <c r="A857" s="44"/>
      <c r="C857" s="5"/>
      <c r="E857" s="19"/>
      <c r="F857" s="5"/>
      <c r="H857" s="19"/>
      <c r="Q857" s="5"/>
      <c r="R857" s="9"/>
    </row>
    <row r="858">
      <c r="A858" s="44"/>
      <c r="C858" s="5"/>
      <c r="E858" s="19"/>
      <c r="F858" s="5"/>
      <c r="H858" s="19"/>
      <c r="Q858" s="5"/>
      <c r="R858" s="9"/>
    </row>
    <row r="859">
      <c r="A859" s="44"/>
      <c r="C859" s="5"/>
      <c r="E859" s="19"/>
      <c r="F859" s="5"/>
      <c r="H859" s="19"/>
      <c r="Q859" s="5"/>
      <c r="R859" s="9"/>
    </row>
    <row r="860">
      <c r="A860" s="44"/>
      <c r="C860" s="5"/>
      <c r="E860" s="19"/>
      <c r="F860" s="5"/>
      <c r="H860" s="19"/>
      <c r="Q860" s="5"/>
      <c r="R860" s="9"/>
    </row>
    <row r="861">
      <c r="A861" s="44"/>
      <c r="C861" s="5"/>
      <c r="E861" s="19"/>
      <c r="F861" s="5"/>
      <c r="H861" s="19"/>
      <c r="Q861" s="5"/>
      <c r="R861" s="9"/>
    </row>
    <row r="862">
      <c r="A862" s="44"/>
      <c r="C862" s="5"/>
      <c r="E862" s="19"/>
      <c r="F862" s="5"/>
      <c r="H862" s="19"/>
      <c r="Q862" s="5"/>
      <c r="R862" s="9"/>
    </row>
    <row r="863">
      <c r="A863" s="44"/>
      <c r="C863" s="5"/>
      <c r="E863" s="19"/>
      <c r="F863" s="5"/>
      <c r="H863" s="19"/>
      <c r="Q863" s="5"/>
      <c r="R863" s="9"/>
    </row>
    <row r="864">
      <c r="A864" s="44"/>
      <c r="C864" s="5"/>
      <c r="E864" s="19"/>
      <c r="F864" s="5"/>
      <c r="H864" s="19"/>
      <c r="Q864" s="5"/>
      <c r="R864" s="9"/>
    </row>
    <row r="865">
      <c r="A865" s="44"/>
      <c r="C865" s="5"/>
      <c r="E865" s="19"/>
      <c r="F865" s="5"/>
      <c r="H865" s="19"/>
      <c r="Q865" s="5"/>
      <c r="R865" s="9"/>
    </row>
    <row r="866">
      <c r="A866" s="44"/>
      <c r="C866" s="5"/>
      <c r="E866" s="19"/>
      <c r="F866" s="5"/>
      <c r="H866" s="19"/>
      <c r="Q866" s="5"/>
      <c r="R866" s="9"/>
    </row>
    <row r="867">
      <c r="A867" s="44"/>
      <c r="C867" s="5"/>
      <c r="E867" s="19"/>
      <c r="F867" s="5"/>
      <c r="H867" s="19"/>
      <c r="Q867" s="5"/>
      <c r="R867" s="9"/>
    </row>
    <row r="868">
      <c r="A868" s="44"/>
      <c r="C868" s="5"/>
      <c r="E868" s="19"/>
      <c r="F868" s="5"/>
      <c r="H868" s="19"/>
      <c r="Q868" s="5"/>
      <c r="R868" s="9"/>
    </row>
    <row r="869">
      <c r="A869" s="44"/>
      <c r="C869" s="5"/>
      <c r="E869" s="19"/>
      <c r="F869" s="5"/>
      <c r="H869" s="19"/>
      <c r="Q869" s="5"/>
      <c r="R869" s="9"/>
    </row>
    <row r="870">
      <c r="A870" s="44"/>
      <c r="C870" s="5"/>
      <c r="E870" s="19"/>
      <c r="F870" s="5"/>
      <c r="H870" s="19"/>
      <c r="Q870" s="5"/>
      <c r="R870" s="9"/>
    </row>
    <row r="871">
      <c r="A871" s="44"/>
      <c r="C871" s="5"/>
      <c r="E871" s="19"/>
      <c r="F871" s="5"/>
      <c r="H871" s="19"/>
      <c r="Q871" s="5"/>
      <c r="R871" s="9"/>
    </row>
    <row r="872">
      <c r="A872" s="44"/>
      <c r="C872" s="5"/>
      <c r="E872" s="19"/>
      <c r="F872" s="5"/>
      <c r="H872" s="19"/>
      <c r="Q872" s="5"/>
      <c r="R872" s="9"/>
    </row>
    <row r="873">
      <c r="A873" s="44"/>
      <c r="C873" s="5"/>
      <c r="E873" s="19"/>
      <c r="F873" s="5"/>
      <c r="H873" s="19"/>
      <c r="Q873" s="5"/>
      <c r="R873" s="9"/>
    </row>
    <row r="874">
      <c r="A874" s="44"/>
      <c r="C874" s="5"/>
      <c r="E874" s="19"/>
      <c r="F874" s="5"/>
      <c r="H874" s="19"/>
      <c r="Q874" s="5"/>
      <c r="R874" s="9"/>
    </row>
    <row r="875">
      <c r="A875" s="44"/>
      <c r="C875" s="5"/>
      <c r="E875" s="19"/>
      <c r="F875" s="5"/>
      <c r="H875" s="19"/>
      <c r="Q875" s="5"/>
      <c r="R875" s="9"/>
    </row>
    <row r="876">
      <c r="A876" s="44"/>
      <c r="C876" s="5"/>
      <c r="E876" s="19"/>
      <c r="F876" s="5"/>
      <c r="H876" s="19"/>
      <c r="Q876" s="5"/>
      <c r="R876" s="9"/>
    </row>
    <row r="877">
      <c r="A877" s="44"/>
      <c r="C877" s="5"/>
      <c r="E877" s="19"/>
      <c r="F877" s="5"/>
      <c r="H877" s="19"/>
      <c r="Q877" s="5"/>
      <c r="R877" s="9"/>
    </row>
    <row r="878">
      <c r="A878" s="44"/>
      <c r="C878" s="5"/>
      <c r="E878" s="19"/>
      <c r="F878" s="5"/>
      <c r="H878" s="19"/>
      <c r="Q878" s="5"/>
      <c r="R878" s="9"/>
    </row>
    <row r="879">
      <c r="A879" s="44"/>
      <c r="C879" s="5"/>
      <c r="E879" s="19"/>
      <c r="F879" s="5"/>
      <c r="H879" s="19"/>
      <c r="Q879" s="5"/>
      <c r="R879" s="9"/>
    </row>
    <row r="880">
      <c r="A880" s="44"/>
      <c r="C880" s="5"/>
      <c r="E880" s="19"/>
      <c r="F880" s="5"/>
      <c r="H880" s="19"/>
      <c r="Q880" s="5"/>
      <c r="R880" s="9"/>
    </row>
    <row r="881">
      <c r="A881" s="44"/>
      <c r="C881" s="5"/>
      <c r="E881" s="19"/>
      <c r="F881" s="5"/>
      <c r="H881" s="19"/>
      <c r="Q881" s="5"/>
      <c r="R881" s="9"/>
    </row>
    <row r="882">
      <c r="A882" s="44"/>
      <c r="C882" s="5"/>
      <c r="E882" s="19"/>
      <c r="F882" s="5"/>
      <c r="H882" s="19"/>
      <c r="Q882" s="5"/>
      <c r="R882" s="9"/>
    </row>
    <row r="883">
      <c r="A883" s="44"/>
      <c r="C883" s="5"/>
      <c r="E883" s="19"/>
      <c r="F883" s="5"/>
      <c r="H883" s="19"/>
      <c r="Q883" s="5"/>
      <c r="R883" s="9"/>
    </row>
    <row r="884">
      <c r="A884" s="44"/>
      <c r="C884" s="5"/>
      <c r="E884" s="19"/>
      <c r="F884" s="5"/>
      <c r="H884" s="19"/>
      <c r="Q884" s="5"/>
      <c r="R884" s="9"/>
    </row>
    <row r="885">
      <c r="A885" s="44"/>
      <c r="C885" s="5"/>
      <c r="E885" s="19"/>
      <c r="F885" s="5"/>
      <c r="H885" s="19"/>
      <c r="Q885" s="5"/>
      <c r="R885" s="9"/>
    </row>
    <row r="886">
      <c r="A886" s="44"/>
      <c r="C886" s="5"/>
      <c r="E886" s="19"/>
      <c r="F886" s="5"/>
      <c r="H886" s="19"/>
      <c r="Q886" s="5"/>
      <c r="R886" s="9"/>
    </row>
    <row r="887">
      <c r="A887" s="44"/>
      <c r="C887" s="5"/>
      <c r="E887" s="19"/>
      <c r="F887" s="5"/>
      <c r="H887" s="19"/>
      <c r="Q887" s="5"/>
      <c r="R887" s="9"/>
    </row>
    <row r="888">
      <c r="A888" s="44"/>
      <c r="C888" s="5"/>
      <c r="E888" s="19"/>
      <c r="F888" s="5"/>
      <c r="H888" s="19"/>
      <c r="Q888" s="5"/>
      <c r="R888" s="9"/>
    </row>
    <row r="889">
      <c r="A889" s="44"/>
      <c r="C889" s="5"/>
      <c r="E889" s="19"/>
      <c r="F889" s="5"/>
      <c r="H889" s="19"/>
      <c r="Q889" s="5"/>
      <c r="R889" s="9"/>
    </row>
    <row r="890">
      <c r="A890" s="44"/>
      <c r="C890" s="5"/>
      <c r="E890" s="19"/>
      <c r="F890" s="5"/>
      <c r="H890" s="19"/>
      <c r="Q890" s="5"/>
      <c r="R890" s="9"/>
    </row>
    <row r="891">
      <c r="A891" s="44"/>
      <c r="C891" s="5"/>
      <c r="E891" s="19"/>
      <c r="F891" s="5"/>
      <c r="H891" s="19"/>
      <c r="Q891" s="5"/>
      <c r="R891" s="9"/>
    </row>
    <row r="892">
      <c r="A892" s="44"/>
      <c r="C892" s="5"/>
      <c r="E892" s="19"/>
      <c r="F892" s="5"/>
      <c r="H892" s="19"/>
      <c r="Q892" s="5"/>
      <c r="R892" s="9"/>
    </row>
    <row r="893">
      <c r="A893" s="44"/>
      <c r="C893" s="5"/>
      <c r="E893" s="19"/>
      <c r="F893" s="5"/>
      <c r="H893" s="19"/>
      <c r="Q893" s="5"/>
      <c r="R893" s="9"/>
    </row>
    <row r="894">
      <c r="A894" s="44"/>
      <c r="C894" s="5"/>
      <c r="E894" s="19"/>
      <c r="F894" s="5"/>
      <c r="H894" s="19"/>
      <c r="Q894" s="5"/>
      <c r="R894" s="9"/>
    </row>
    <row r="895">
      <c r="A895" s="44"/>
      <c r="C895" s="5"/>
      <c r="E895" s="19"/>
      <c r="F895" s="5"/>
      <c r="H895" s="19"/>
      <c r="Q895" s="5"/>
      <c r="R895" s="9"/>
    </row>
    <row r="896">
      <c r="A896" s="44"/>
      <c r="C896" s="5"/>
      <c r="E896" s="19"/>
      <c r="F896" s="5"/>
      <c r="H896" s="19"/>
      <c r="Q896" s="5"/>
      <c r="R896" s="9"/>
    </row>
    <row r="897">
      <c r="A897" s="44"/>
      <c r="C897" s="5"/>
      <c r="E897" s="19"/>
      <c r="F897" s="5"/>
      <c r="H897" s="19"/>
      <c r="Q897" s="5"/>
      <c r="R897" s="9"/>
    </row>
    <row r="898">
      <c r="A898" s="44"/>
      <c r="C898" s="5"/>
      <c r="E898" s="19"/>
      <c r="F898" s="5"/>
      <c r="H898" s="19"/>
      <c r="Q898" s="5"/>
      <c r="R898" s="9"/>
    </row>
    <row r="899">
      <c r="A899" s="44"/>
      <c r="C899" s="5"/>
      <c r="E899" s="19"/>
      <c r="F899" s="5"/>
      <c r="H899" s="19"/>
      <c r="Q899" s="5"/>
      <c r="R899" s="9"/>
    </row>
    <row r="900">
      <c r="A900" s="44"/>
      <c r="C900" s="5"/>
      <c r="E900" s="19"/>
      <c r="F900" s="5"/>
      <c r="H900" s="19"/>
      <c r="Q900" s="5"/>
      <c r="R900" s="9"/>
    </row>
    <row r="901">
      <c r="A901" s="44"/>
      <c r="C901" s="5"/>
      <c r="E901" s="19"/>
      <c r="F901" s="5"/>
      <c r="H901" s="19"/>
      <c r="Q901" s="5"/>
      <c r="R901" s="9"/>
    </row>
    <row r="902">
      <c r="A902" s="44"/>
      <c r="C902" s="5"/>
      <c r="E902" s="19"/>
      <c r="F902" s="5"/>
      <c r="H902" s="19"/>
      <c r="Q902" s="5"/>
      <c r="R902" s="9"/>
    </row>
    <row r="903">
      <c r="A903" s="44"/>
      <c r="C903" s="5"/>
      <c r="E903" s="19"/>
      <c r="F903" s="5"/>
      <c r="H903" s="19"/>
      <c r="Q903" s="5"/>
      <c r="R903" s="9"/>
    </row>
    <row r="904">
      <c r="A904" s="44"/>
      <c r="C904" s="5"/>
      <c r="E904" s="19"/>
      <c r="F904" s="5"/>
      <c r="H904" s="19"/>
      <c r="Q904" s="5"/>
      <c r="R904" s="9"/>
    </row>
    <row r="905">
      <c r="A905" s="44"/>
      <c r="C905" s="5"/>
      <c r="E905" s="19"/>
      <c r="F905" s="5"/>
      <c r="H905" s="19"/>
      <c r="Q905" s="5"/>
      <c r="R905" s="9"/>
    </row>
    <row r="906">
      <c r="A906" s="44"/>
      <c r="C906" s="5"/>
      <c r="E906" s="19"/>
      <c r="F906" s="5"/>
      <c r="H906" s="19"/>
      <c r="Q906" s="5"/>
      <c r="R906" s="9"/>
    </row>
    <row r="907">
      <c r="A907" s="44"/>
      <c r="C907" s="5"/>
      <c r="E907" s="19"/>
      <c r="F907" s="5"/>
      <c r="H907" s="19"/>
      <c r="Q907" s="5"/>
      <c r="R907" s="9"/>
    </row>
    <row r="908">
      <c r="A908" s="44"/>
      <c r="C908" s="5"/>
      <c r="E908" s="19"/>
      <c r="F908" s="5"/>
      <c r="H908" s="19"/>
      <c r="Q908" s="5"/>
      <c r="R908" s="9"/>
    </row>
    <row r="909">
      <c r="A909" s="44"/>
      <c r="C909" s="5"/>
      <c r="E909" s="19"/>
      <c r="F909" s="5"/>
      <c r="H909" s="19"/>
      <c r="Q909" s="5"/>
      <c r="R909" s="9"/>
    </row>
    <row r="910">
      <c r="A910" s="44"/>
      <c r="C910" s="5"/>
      <c r="E910" s="19"/>
      <c r="F910" s="5"/>
      <c r="H910" s="19"/>
      <c r="Q910" s="5"/>
      <c r="R910" s="9"/>
    </row>
    <row r="911">
      <c r="A911" s="44"/>
      <c r="C911" s="5"/>
      <c r="E911" s="19"/>
      <c r="F911" s="5"/>
      <c r="H911" s="19"/>
      <c r="Q911" s="5"/>
      <c r="R911" s="9"/>
    </row>
    <row r="912">
      <c r="A912" s="44"/>
      <c r="C912" s="5"/>
      <c r="E912" s="19"/>
      <c r="F912" s="5"/>
      <c r="H912" s="19"/>
      <c r="Q912" s="5"/>
      <c r="R912" s="9"/>
    </row>
    <row r="913">
      <c r="A913" s="44"/>
      <c r="C913" s="5"/>
      <c r="E913" s="19"/>
      <c r="F913" s="5"/>
      <c r="H913" s="19"/>
      <c r="Q913" s="5"/>
      <c r="R913" s="9"/>
    </row>
    <row r="914">
      <c r="A914" s="44"/>
      <c r="C914" s="5"/>
      <c r="E914" s="19"/>
      <c r="F914" s="5"/>
      <c r="H914" s="19"/>
      <c r="Q914" s="5"/>
      <c r="R914" s="9"/>
    </row>
    <row r="915">
      <c r="A915" s="44"/>
      <c r="C915" s="5"/>
      <c r="E915" s="19"/>
      <c r="F915" s="5"/>
      <c r="H915" s="19"/>
      <c r="Q915" s="5"/>
      <c r="R915" s="9"/>
    </row>
    <row r="916">
      <c r="A916" s="44"/>
      <c r="C916" s="5"/>
      <c r="E916" s="19"/>
      <c r="F916" s="5"/>
      <c r="H916" s="19"/>
      <c r="Q916" s="5"/>
      <c r="R916" s="9"/>
    </row>
    <row r="917">
      <c r="A917" s="44"/>
      <c r="C917" s="5"/>
      <c r="E917" s="19"/>
      <c r="F917" s="5"/>
      <c r="H917" s="19"/>
      <c r="Q917" s="5"/>
      <c r="R917" s="9"/>
    </row>
    <row r="918">
      <c r="A918" s="44"/>
      <c r="C918" s="5"/>
      <c r="E918" s="19"/>
      <c r="F918" s="5"/>
      <c r="H918" s="19"/>
      <c r="Q918" s="5"/>
      <c r="R918" s="9"/>
    </row>
    <row r="919">
      <c r="A919" s="44"/>
      <c r="C919" s="5"/>
      <c r="E919" s="19"/>
      <c r="F919" s="5"/>
      <c r="H919" s="19"/>
      <c r="Q919" s="5"/>
      <c r="R919" s="9"/>
    </row>
    <row r="920">
      <c r="A920" s="44"/>
      <c r="C920" s="5"/>
      <c r="E920" s="19"/>
      <c r="F920" s="5"/>
      <c r="H920" s="19"/>
      <c r="Q920" s="5"/>
      <c r="R920" s="9"/>
    </row>
    <row r="921">
      <c r="A921" s="44"/>
      <c r="C921" s="5"/>
      <c r="E921" s="19"/>
      <c r="F921" s="5"/>
      <c r="H921" s="19"/>
      <c r="Q921" s="5"/>
      <c r="R921" s="9"/>
    </row>
    <row r="922">
      <c r="A922" s="44"/>
      <c r="C922" s="5"/>
      <c r="E922" s="19"/>
      <c r="F922" s="5"/>
      <c r="H922" s="19"/>
      <c r="Q922" s="5"/>
      <c r="R922" s="9"/>
    </row>
    <row r="923">
      <c r="A923" s="44"/>
      <c r="C923" s="5"/>
      <c r="E923" s="19"/>
      <c r="F923" s="5"/>
      <c r="H923" s="19"/>
      <c r="Q923" s="5"/>
      <c r="R923" s="9"/>
    </row>
    <row r="924">
      <c r="A924" s="44"/>
      <c r="C924" s="5"/>
      <c r="E924" s="19"/>
      <c r="F924" s="5"/>
      <c r="H924" s="19"/>
      <c r="Q924" s="5"/>
      <c r="R924" s="9"/>
    </row>
    <row r="925">
      <c r="A925" s="44"/>
      <c r="C925" s="5"/>
      <c r="E925" s="19"/>
      <c r="F925" s="5"/>
      <c r="H925" s="19"/>
      <c r="Q925" s="5"/>
      <c r="R925" s="9"/>
    </row>
    <row r="926">
      <c r="A926" s="44"/>
      <c r="C926" s="5"/>
      <c r="E926" s="19"/>
      <c r="F926" s="5"/>
      <c r="H926" s="19"/>
      <c r="Q926" s="5"/>
      <c r="R926" s="9"/>
    </row>
    <row r="927">
      <c r="A927" s="44"/>
      <c r="C927" s="5"/>
      <c r="E927" s="19"/>
      <c r="F927" s="5"/>
      <c r="H927" s="19"/>
      <c r="Q927" s="5"/>
      <c r="R927" s="9"/>
    </row>
    <row r="928">
      <c r="A928" s="44"/>
      <c r="C928" s="5"/>
      <c r="E928" s="19"/>
      <c r="F928" s="5"/>
      <c r="H928" s="19"/>
      <c r="Q928" s="5"/>
      <c r="R928" s="9"/>
    </row>
    <row r="929">
      <c r="A929" s="44"/>
      <c r="C929" s="5"/>
      <c r="E929" s="19"/>
      <c r="F929" s="5"/>
      <c r="H929" s="19"/>
      <c r="Q929" s="5"/>
      <c r="R929" s="9"/>
    </row>
    <row r="930">
      <c r="A930" s="44"/>
      <c r="C930" s="5"/>
      <c r="E930" s="19"/>
      <c r="F930" s="5"/>
      <c r="H930" s="19"/>
      <c r="Q930" s="5"/>
      <c r="R930" s="9"/>
    </row>
    <row r="931">
      <c r="A931" s="44"/>
      <c r="C931" s="5"/>
      <c r="E931" s="19"/>
      <c r="F931" s="5"/>
      <c r="H931" s="19"/>
      <c r="Q931" s="5"/>
      <c r="R931" s="9"/>
    </row>
    <row r="932">
      <c r="A932" s="44"/>
      <c r="C932" s="5"/>
      <c r="E932" s="19"/>
      <c r="F932" s="5"/>
      <c r="H932" s="19"/>
      <c r="Q932" s="5"/>
      <c r="R932" s="9"/>
    </row>
    <row r="933">
      <c r="A933" s="44"/>
      <c r="C933" s="5"/>
      <c r="E933" s="19"/>
      <c r="F933" s="5"/>
      <c r="H933" s="19"/>
      <c r="Q933" s="5"/>
      <c r="R933" s="9"/>
    </row>
    <row r="934">
      <c r="A934" s="44"/>
      <c r="C934" s="5"/>
      <c r="E934" s="19"/>
      <c r="F934" s="5"/>
      <c r="H934" s="19"/>
      <c r="Q934" s="5"/>
      <c r="R934" s="9"/>
    </row>
    <row r="935">
      <c r="A935" s="44"/>
      <c r="C935" s="5"/>
      <c r="E935" s="19"/>
      <c r="F935" s="5"/>
      <c r="H935" s="19"/>
      <c r="Q935" s="5"/>
      <c r="R935" s="9"/>
    </row>
    <row r="936">
      <c r="A936" s="44"/>
      <c r="C936" s="5"/>
      <c r="E936" s="19"/>
      <c r="F936" s="5"/>
      <c r="H936" s="19"/>
      <c r="Q936" s="5"/>
      <c r="R936" s="9"/>
    </row>
    <row r="937">
      <c r="A937" s="44"/>
      <c r="C937" s="5"/>
      <c r="E937" s="19"/>
      <c r="F937" s="5"/>
      <c r="H937" s="19"/>
      <c r="Q937" s="5"/>
      <c r="R937" s="9"/>
    </row>
    <row r="938">
      <c r="A938" s="44"/>
      <c r="C938" s="5"/>
      <c r="E938" s="19"/>
      <c r="F938" s="5"/>
      <c r="H938" s="19"/>
      <c r="Q938" s="5"/>
      <c r="R938" s="9"/>
    </row>
    <row r="939">
      <c r="A939" s="44"/>
      <c r="C939" s="5"/>
      <c r="E939" s="19"/>
      <c r="F939" s="5"/>
      <c r="H939" s="19"/>
      <c r="Q939" s="5"/>
      <c r="R939" s="9"/>
    </row>
    <row r="940">
      <c r="A940" s="44"/>
      <c r="C940" s="5"/>
      <c r="E940" s="19"/>
      <c r="F940" s="5"/>
      <c r="H940" s="19"/>
      <c r="Q940" s="5"/>
      <c r="R940" s="9"/>
    </row>
    <row r="941">
      <c r="A941" s="44"/>
      <c r="C941" s="5"/>
      <c r="E941" s="19"/>
      <c r="F941" s="5"/>
      <c r="H941" s="19"/>
      <c r="Q941" s="5"/>
      <c r="R941" s="9"/>
    </row>
    <row r="942">
      <c r="A942" s="44"/>
      <c r="C942" s="5"/>
      <c r="E942" s="19"/>
      <c r="F942" s="5"/>
      <c r="H942" s="19"/>
      <c r="Q942" s="5"/>
      <c r="R942" s="9"/>
    </row>
    <row r="943">
      <c r="A943" s="44"/>
      <c r="C943" s="5"/>
      <c r="E943" s="19"/>
      <c r="F943" s="5"/>
      <c r="H943" s="19"/>
      <c r="Q943" s="5"/>
      <c r="R943" s="9"/>
    </row>
    <row r="944">
      <c r="A944" s="44"/>
      <c r="C944" s="5"/>
      <c r="E944" s="19"/>
      <c r="F944" s="5"/>
      <c r="H944" s="19"/>
      <c r="Q944" s="5"/>
      <c r="R944" s="9"/>
    </row>
    <row r="945">
      <c r="A945" s="44"/>
      <c r="C945" s="5"/>
      <c r="E945" s="19"/>
      <c r="F945" s="5"/>
      <c r="H945" s="19"/>
      <c r="Q945" s="5"/>
      <c r="R945" s="9"/>
    </row>
    <row r="946">
      <c r="A946" s="44"/>
      <c r="C946" s="5"/>
      <c r="E946" s="19"/>
      <c r="F946" s="5"/>
      <c r="H946" s="19"/>
      <c r="Q946" s="5"/>
      <c r="R946" s="9"/>
    </row>
    <row r="947">
      <c r="A947" s="44"/>
      <c r="C947" s="5"/>
      <c r="E947" s="19"/>
      <c r="F947" s="5"/>
      <c r="H947" s="19"/>
      <c r="Q947" s="5"/>
      <c r="R947" s="9"/>
    </row>
    <row r="948">
      <c r="A948" s="44"/>
      <c r="C948" s="5"/>
      <c r="E948" s="19"/>
      <c r="F948" s="5"/>
      <c r="H948" s="19"/>
      <c r="Q948" s="5"/>
      <c r="R948" s="9"/>
    </row>
    <row r="949">
      <c r="A949" s="44"/>
      <c r="C949" s="5"/>
      <c r="E949" s="19"/>
      <c r="F949" s="5"/>
      <c r="H949" s="19"/>
      <c r="Q949" s="5"/>
      <c r="R949" s="9"/>
    </row>
    <row r="950">
      <c r="A950" s="44"/>
      <c r="C950" s="5"/>
      <c r="E950" s="19"/>
      <c r="F950" s="5"/>
      <c r="H950" s="19"/>
      <c r="Q950" s="5"/>
      <c r="R950" s="9"/>
    </row>
    <row r="951">
      <c r="A951" s="44"/>
      <c r="C951" s="5"/>
      <c r="E951" s="19"/>
      <c r="F951" s="5"/>
      <c r="H951" s="19"/>
      <c r="Q951" s="5"/>
      <c r="R951" s="9"/>
    </row>
    <row r="952">
      <c r="A952" s="44"/>
      <c r="C952" s="5"/>
      <c r="E952" s="19"/>
      <c r="F952" s="5"/>
      <c r="H952" s="19"/>
      <c r="Q952" s="5"/>
      <c r="R952" s="9"/>
    </row>
    <row r="953">
      <c r="A953" s="44"/>
      <c r="C953" s="5"/>
      <c r="E953" s="19"/>
      <c r="F953" s="5"/>
      <c r="H953" s="19"/>
      <c r="Q953" s="5"/>
      <c r="R953" s="9"/>
    </row>
    <row r="954">
      <c r="A954" s="44"/>
      <c r="C954" s="5"/>
      <c r="E954" s="19"/>
      <c r="F954" s="5"/>
      <c r="H954" s="19"/>
      <c r="Q954" s="5"/>
      <c r="R954" s="9"/>
    </row>
    <row r="955">
      <c r="A955" s="44"/>
      <c r="C955" s="5"/>
      <c r="E955" s="19"/>
      <c r="F955" s="5"/>
      <c r="H955" s="19"/>
      <c r="Q955" s="5"/>
      <c r="R955" s="9"/>
    </row>
    <row r="956">
      <c r="A956" s="44"/>
      <c r="C956" s="5"/>
      <c r="E956" s="19"/>
      <c r="F956" s="5"/>
      <c r="H956" s="19"/>
      <c r="Q956" s="5"/>
      <c r="R956" s="9"/>
    </row>
    <row r="957">
      <c r="A957" s="44"/>
      <c r="C957" s="5"/>
      <c r="E957" s="19"/>
      <c r="F957" s="5"/>
      <c r="H957" s="19"/>
      <c r="Q957" s="5"/>
      <c r="R957" s="9"/>
    </row>
    <row r="958">
      <c r="A958" s="44"/>
      <c r="C958" s="5"/>
      <c r="E958" s="19"/>
      <c r="F958" s="5"/>
      <c r="H958" s="19"/>
      <c r="Q958" s="5"/>
      <c r="R958" s="9"/>
    </row>
    <row r="959">
      <c r="A959" s="44"/>
      <c r="C959" s="5"/>
      <c r="E959" s="19"/>
      <c r="F959" s="5"/>
      <c r="H959" s="19"/>
      <c r="Q959" s="5"/>
      <c r="R959" s="9"/>
    </row>
    <row r="960">
      <c r="A960" s="44"/>
      <c r="C960" s="5"/>
      <c r="E960" s="19"/>
      <c r="F960" s="5"/>
      <c r="H960" s="19"/>
      <c r="Q960" s="5"/>
      <c r="R960" s="9"/>
    </row>
    <row r="961">
      <c r="A961" s="44"/>
      <c r="C961" s="5"/>
      <c r="E961" s="19"/>
      <c r="F961" s="5"/>
      <c r="H961" s="19"/>
      <c r="Q961" s="5"/>
      <c r="R961" s="9"/>
    </row>
    <row r="962">
      <c r="A962" s="44"/>
      <c r="C962" s="5"/>
      <c r="E962" s="19"/>
      <c r="F962" s="5"/>
      <c r="H962" s="19"/>
      <c r="Q962" s="5"/>
      <c r="R962" s="9"/>
    </row>
    <row r="963">
      <c r="A963" s="44"/>
      <c r="C963" s="5"/>
      <c r="E963" s="19"/>
      <c r="F963" s="5"/>
      <c r="H963" s="19"/>
      <c r="Q963" s="5"/>
      <c r="R963" s="9"/>
    </row>
    <row r="964">
      <c r="A964" s="44"/>
      <c r="C964" s="5"/>
      <c r="E964" s="19"/>
      <c r="F964" s="5"/>
      <c r="H964" s="19"/>
      <c r="Q964" s="5"/>
      <c r="R964" s="9"/>
    </row>
    <row r="965">
      <c r="A965" s="44"/>
      <c r="C965" s="5"/>
      <c r="E965" s="19"/>
      <c r="F965" s="5"/>
      <c r="H965" s="19"/>
      <c r="Q965" s="5"/>
      <c r="R965" s="9"/>
    </row>
    <row r="966">
      <c r="A966" s="44"/>
      <c r="C966" s="5"/>
      <c r="E966" s="19"/>
      <c r="F966" s="5"/>
      <c r="H966" s="19"/>
      <c r="Q966" s="5"/>
      <c r="R966" s="9"/>
    </row>
    <row r="967">
      <c r="A967" s="44"/>
      <c r="C967" s="5"/>
      <c r="E967" s="19"/>
      <c r="F967" s="5"/>
      <c r="H967" s="19"/>
      <c r="Q967" s="5"/>
      <c r="R967" s="9"/>
    </row>
    <row r="968">
      <c r="A968" s="44"/>
      <c r="C968" s="5"/>
      <c r="E968" s="19"/>
      <c r="F968" s="5"/>
      <c r="H968" s="19"/>
      <c r="Q968" s="5"/>
      <c r="R968" s="9"/>
    </row>
    <row r="969">
      <c r="A969" s="44"/>
      <c r="C969" s="5"/>
      <c r="E969" s="19"/>
      <c r="F969" s="5"/>
      <c r="H969" s="19"/>
      <c r="Q969" s="5"/>
      <c r="R969" s="9"/>
    </row>
    <row r="970">
      <c r="A970" s="44"/>
      <c r="C970" s="5"/>
      <c r="E970" s="19"/>
      <c r="F970" s="5"/>
      <c r="H970" s="19"/>
      <c r="Q970" s="5"/>
      <c r="R970" s="9"/>
    </row>
    <row r="971">
      <c r="A971" s="44"/>
      <c r="C971" s="5"/>
      <c r="E971" s="19"/>
      <c r="F971" s="5"/>
      <c r="H971" s="19"/>
      <c r="Q971" s="5"/>
      <c r="R971" s="9"/>
    </row>
    <row r="972">
      <c r="A972" s="44"/>
      <c r="C972" s="5"/>
      <c r="E972" s="19"/>
      <c r="F972" s="5"/>
      <c r="H972" s="19"/>
      <c r="Q972" s="5"/>
      <c r="R972" s="9"/>
    </row>
    <row r="973">
      <c r="A973" s="44"/>
      <c r="C973" s="5"/>
      <c r="E973" s="19"/>
      <c r="F973" s="5"/>
      <c r="H973" s="19"/>
      <c r="Q973" s="5"/>
      <c r="R973" s="9"/>
    </row>
    <row r="974">
      <c r="A974" s="44"/>
      <c r="C974" s="5"/>
      <c r="E974" s="19"/>
      <c r="F974" s="5"/>
      <c r="H974" s="19"/>
      <c r="Q974" s="5"/>
      <c r="R974" s="9"/>
    </row>
    <row r="975">
      <c r="A975" s="44"/>
      <c r="C975" s="5"/>
      <c r="E975" s="19"/>
      <c r="F975" s="5"/>
      <c r="H975" s="19"/>
      <c r="Q975" s="5"/>
      <c r="R975" s="9"/>
    </row>
    <row r="976">
      <c r="A976" s="44"/>
      <c r="C976" s="5"/>
      <c r="E976" s="19"/>
      <c r="F976" s="5"/>
      <c r="H976" s="19"/>
      <c r="Q976" s="5"/>
      <c r="R976" s="9"/>
    </row>
    <row r="977">
      <c r="A977" s="44"/>
      <c r="C977" s="5"/>
      <c r="E977" s="19"/>
      <c r="F977" s="5"/>
      <c r="H977" s="19"/>
      <c r="Q977" s="5"/>
      <c r="R977" s="9"/>
    </row>
    <row r="978">
      <c r="A978" s="44"/>
      <c r="C978" s="5"/>
      <c r="E978" s="19"/>
      <c r="F978" s="5"/>
      <c r="H978" s="19"/>
      <c r="Q978" s="5"/>
      <c r="R978" s="9"/>
    </row>
    <row r="979">
      <c r="A979" s="44"/>
      <c r="C979" s="5"/>
      <c r="E979" s="19"/>
      <c r="F979" s="5"/>
      <c r="H979" s="19"/>
      <c r="Q979" s="5"/>
      <c r="R979" s="9"/>
    </row>
    <row r="980">
      <c r="A980" s="44"/>
      <c r="C980" s="5"/>
      <c r="E980" s="19"/>
      <c r="F980" s="5"/>
      <c r="H980" s="19"/>
      <c r="Q980" s="5"/>
      <c r="R980" s="9"/>
    </row>
    <row r="981">
      <c r="A981" s="44"/>
      <c r="C981" s="5"/>
      <c r="E981" s="19"/>
      <c r="F981" s="5"/>
      <c r="H981" s="19"/>
      <c r="Q981" s="5"/>
      <c r="R981" s="9"/>
    </row>
    <row r="982">
      <c r="A982" s="44"/>
      <c r="C982" s="5"/>
      <c r="E982" s="19"/>
      <c r="F982" s="5"/>
      <c r="H982" s="19"/>
      <c r="Q982" s="5"/>
      <c r="R982" s="9"/>
    </row>
    <row r="983">
      <c r="A983" s="44"/>
      <c r="C983" s="5"/>
      <c r="E983" s="19"/>
      <c r="F983" s="5"/>
      <c r="H983" s="19"/>
      <c r="Q983" s="5"/>
      <c r="R983" s="9"/>
    </row>
    <row r="984">
      <c r="A984" s="44"/>
      <c r="C984" s="5"/>
      <c r="E984" s="19"/>
      <c r="F984" s="5"/>
      <c r="H984" s="19"/>
      <c r="Q984" s="5"/>
      <c r="R984" s="9"/>
    </row>
    <row r="985">
      <c r="A985" s="44"/>
      <c r="C985" s="5"/>
      <c r="E985" s="19"/>
      <c r="F985" s="5"/>
      <c r="H985" s="19"/>
      <c r="Q985" s="5"/>
      <c r="R985" s="9"/>
    </row>
    <row r="986">
      <c r="A986" s="44"/>
      <c r="C986" s="5"/>
      <c r="E986" s="19"/>
      <c r="F986" s="5"/>
      <c r="H986" s="19"/>
      <c r="Q986" s="5"/>
      <c r="R986" s="9"/>
    </row>
    <row r="987">
      <c r="A987" s="44"/>
      <c r="C987" s="5"/>
      <c r="E987" s="19"/>
      <c r="F987" s="5"/>
      <c r="H987" s="19"/>
      <c r="Q987" s="5"/>
      <c r="R987" s="9"/>
    </row>
    <row r="988">
      <c r="A988" s="44"/>
      <c r="C988" s="5"/>
      <c r="E988" s="19"/>
      <c r="F988" s="5"/>
      <c r="H988" s="19"/>
      <c r="Q988" s="5"/>
      <c r="R988" s="9"/>
    </row>
    <row r="989">
      <c r="A989" s="44"/>
      <c r="C989" s="5"/>
      <c r="E989" s="19"/>
      <c r="F989" s="5"/>
      <c r="H989" s="19"/>
      <c r="Q989" s="5"/>
      <c r="R989" s="9"/>
    </row>
    <row r="990">
      <c r="A990" s="44"/>
      <c r="C990" s="5"/>
      <c r="E990" s="19"/>
      <c r="F990" s="5"/>
      <c r="H990" s="19"/>
      <c r="Q990" s="5"/>
      <c r="R990" s="9"/>
    </row>
    <row r="991">
      <c r="A991" s="44"/>
      <c r="C991" s="5"/>
      <c r="E991" s="19"/>
      <c r="F991" s="5"/>
      <c r="H991" s="19"/>
      <c r="Q991" s="5"/>
      <c r="R991" s="9"/>
    </row>
    <row r="992">
      <c r="A992" s="44"/>
      <c r="C992" s="5"/>
      <c r="E992" s="19"/>
      <c r="F992" s="5"/>
      <c r="H992" s="19"/>
      <c r="Q992" s="5"/>
      <c r="R992" s="9"/>
    </row>
    <row r="993">
      <c r="A993" s="44"/>
      <c r="C993" s="5"/>
      <c r="E993" s="19"/>
      <c r="F993" s="5"/>
      <c r="H993" s="19"/>
      <c r="Q993" s="5"/>
      <c r="R993" s="9"/>
    </row>
    <row r="994">
      <c r="A994" s="44"/>
      <c r="C994" s="5"/>
      <c r="E994" s="19"/>
      <c r="F994" s="5"/>
      <c r="H994" s="19"/>
      <c r="Q994" s="5"/>
      <c r="R994" s="9"/>
    </row>
    <row r="995">
      <c r="A995" s="44"/>
      <c r="C995" s="5"/>
      <c r="E995" s="19"/>
      <c r="F995" s="5"/>
      <c r="H995" s="19"/>
      <c r="Q995" s="5"/>
      <c r="R995" s="9"/>
    </row>
    <row r="996">
      <c r="A996" s="44"/>
      <c r="C996" s="5"/>
      <c r="E996" s="19"/>
      <c r="F996" s="5"/>
      <c r="H996" s="19"/>
      <c r="Q996" s="5"/>
      <c r="R996" s="9"/>
    </row>
    <row r="997">
      <c r="A997" s="44"/>
      <c r="C997" s="5"/>
      <c r="E997" s="19"/>
      <c r="F997" s="5"/>
      <c r="H997" s="19"/>
      <c r="Q997" s="5"/>
      <c r="R997" s="9"/>
    </row>
    <row r="998">
      <c r="A998" s="44"/>
      <c r="C998" s="5"/>
      <c r="E998" s="19"/>
      <c r="F998" s="5"/>
      <c r="H998" s="19"/>
      <c r="Q998" s="5"/>
      <c r="R998" s="9"/>
    </row>
    <row r="999">
      <c r="A999" s="44"/>
      <c r="C999" s="5"/>
      <c r="E999" s="19"/>
      <c r="F999" s="5"/>
      <c r="H999" s="19"/>
      <c r="Q999" s="5"/>
      <c r="R999" s="9"/>
    </row>
    <row r="1000">
      <c r="A1000" s="39"/>
      <c r="C1000" s="5"/>
      <c r="E1000" s="19"/>
      <c r="F1000" s="5"/>
      <c r="H1000" s="19"/>
      <c r="Q1000" s="5"/>
      <c r="R1000" s="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1">
    <cfRule type="cellIs" dxfId="3" priority="3" operator="greaterThan">
      <formula>0</formula>
    </cfRule>
  </conditionalFormatting>
  <conditionalFormatting sqref="O1:O1000 Q1:Q1000">
    <cfRule type="cellIs" dxfId="0" priority="4" operator="lessThan">
      <formula>25</formula>
    </cfRule>
  </conditionalFormatting>
  <conditionalFormatting sqref="O1:O1000 Q1:Q1000">
    <cfRule type="cellIs" dxfId="6" priority="5" operator="lessThan">
      <formula>35</formula>
    </cfRule>
  </conditionalFormatting>
  <conditionalFormatting sqref="O1:O1000 Q1:Q1000">
    <cfRule type="cellIs" dxfId="1" priority="6" operator="greaterThanOrEqual">
      <formula>35</formula>
    </cfRule>
  </conditionalFormatting>
  <conditionalFormatting sqref="N1:N1000">
    <cfRule type="timePeriod" dxfId="4" priority="7" timePeriod="today"/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108.1</v>
      </c>
      <c r="H1" s="1" t="s">
        <v>46</v>
      </c>
      <c r="I1" s="5">
        <f>I6-I7</f>
        <v>258.02</v>
      </c>
      <c r="J1" s="19"/>
      <c r="K1" s="1" t="s">
        <v>47</v>
      </c>
      <c r="L1" s="5">
        <f t="shared" ref="L1:L5" si="1">SUMIF(B:B,K1,C:I)</f>
        <v>146.51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45413.0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25.08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20.88</v>
      </c>
      <c r="N2" s="39">
        <v>45413.0</v>
      </c>
      <c r="O2" s="5">
        <f>sumif(A:A,N2,C:C)-sum(C2:C5)</f>
        <v>148.67</v>
      </c>
      <c r="P2" s="5">
        <f>SUM(O2)</f>
        <v>148.67</v>
      </c>
      <c r="Q2" s="5">
        <f t="shared" ref="Q2:Q32" si="2">P2/(ROW()-1)</f>
        <v>148.67</v>
      </c>
    </row>
    <row r="3">
      <c r="A3" s="39">
        <v>45413.0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12.96</v>
      </c>
      <c r="H3" s="1" t="s">
        <v>8</v>
      </c>
      <c r="I3" s="5">
        <f>SUMIF(B:B,H3,C:C)+I1</f>
        <v>508.02</v>
      </c>
      <c r="K3" s="1" t="s">
        <v>56</v>
      </c>
      <c r="L3" s="5">
        <f t="shared" si="1"/>
        <v>0</v>
      </c>
      <c r="N3" s="39">
        <v>45414.0</v>
      </c>
      <c r="O3" s="40">
        <f t="shared" ref="O3:O32" si="3">sumif(A:A,N3,C:C)</f>
        <v>8.9</v>
      </c>
      <c r="P3" s="5">
        <f t="shared" ref="P3:P32" si="4">P2+O3</f>
        <v>157.57</v>
      </c>
      <c r="Q3" s="5">
        <f t="shared" si="2"/>
        <v>78.785</v>
      </c>
    </row>
    <row r="4">
      <c r="A4" s="39">
        <v>45413.0</v>
      </c>
      <c r="B4" s="4" t="s">
        <v>6</v>
      </c>
      <c r="C4" s="21">
        <v>250.0</v>
      </c>
      <c r="E4" s="1" t="s">
        <v>140</v>
      </c>
      <c r="F4" s="5">
        <f t="shared" ref="F4:F5" si="5">SUMIF(B:B,E4,C:C)</f>
        <v>66.94</v>
      </c>
      <c r="H4" s="1" t="s">
        <v>58</v>
      </c>
      <c r="I4" s="5">
        <f>I2+I3</f>
        <v>758.02</v>
      </c>
      <c r="K4" s="1" t="s">
        <v>59</v>
      </c>
      <c r="L4" s="5">
        <f t="shared" si="1"/>
        <v>32.51</v>
      </c>
      <c r="N4" s="39">
        <v>45415.0</v>
      </c>
      <c r="O4" s="40">
        <f t="shared" si="3"/>
        <v>13.86</v>
      </c>
      <c r="P4" s="5">
        <f t="shared" si="4"/>
        <v>171.43</v>
      </c>
      <c r="Q4" s="5">
        <f t="shared" si="2"/>
        <v>57.14333333</v>
      </c>
    </row>
    <row r="5">
      <c r="A5" s="39">
        <v>45413.0</v>
      </c>
      <c r="B5" s="4" t="s">
        <v>252</v>
      </c>
      <c r="C5" s="21">
        <v>43.8</v>
      </c>
      <c r="E5" s="1" t="s">
        <v>210</v>
      </c>
      <c r="F5" s="5">
        <f t="shared" si="5"/>
        <v>14.95</v>
      </c>
      <c r="K5" s="1" t="s">
        <v>62</v>
      </c>
      <c r="L5" s="5">
        <f t="shared" si="1"/>
        <v>9.58</v>
      </c>
      <c r="N5" s="39">
        <v>45416.0</v>
      </c>
      <c r="O5" s="40">
        <f t="shared" si="3"/>
        <v>35.55</v>
      </c>
      <c r="P5" s="5">
        <f t="shared" si="4"/>
        <v>206.98</v>
      </c>
      <c r="Q5" s="5">
        <f t="shared" si="2"/>
        <v>51.745</v>
      </c>
    </row>
    <row r="6">
      <c r="A6" s="39">
        <v>45413.0</v>
      </c>
      <c r="B6" s="4" t="s">
        <v>352</v>
      </c>
      <c r="C6" s="21">
        <v>37.0</v>
      </c>
      <c r="E6" s="1" t="s">
        <v>57</v>
      </c>
      <c r="F6" s="5">
        <f>sum(L:L)+sumif(B:B,"Groceries",C:C)</f>
        <v>241.57</v>
      </c>
      <c r="H6" s="1" t="s">
        <v>65</v>
      </c>
      <c r="I6" s="21">
        <v>2918.44</v>
      </c>
      <c r="N6" s="39">
        <v>45417.0</v>
      </c>
      <c r="O6" s="40">
        <f t="shared" si="3"/>
        <v>0</v>
      </c>
      <c r="P6" s="5">
        <f t="shared" si="4"/>
        <v>206.98</v>
      </c>
      <c r="Q6" s="5">
        <f t="shared" si="2"/>
        <v>41.396</v>
      </c>
    </row>
    <row r="7">
      <c r="A7" s="39">
        <v>45413.0</v>
      </c>
      <c r="B7" s="4" t="s">
        <v>141</v>
      </c>
      <c r="C7" s="21">
        <f>208.5/3</f>
        <v>69.5</v>
      </c>
      <c r="E7" s="42" t="s">
        <v>61</v>
      </c>
      <c r="F7" s="5">
        <f>SUMIF(B:B,"Games",C:C)+SUMIF(B:B,"Spotify",C:C)+SUMIF(B:B,"Disney+",C:C)+SUMIF(B:B,"Book",C:C)+SUMIF(B:B,"Audible",C:C)+SUMIF(B:B,"Cinema",C:C)+SUMIF(B:B,"Theatre",C:C)</f>
        <v>96.1</v>
      </c>
      <c r="H7" s="1" t="s">
        <v>68</v>
      </c>
      <c r="I7" s="5">
        <f>sum(C:C)</f>
        <v>2660.42</v>
      </c>
      <c r="N7" s="39">
        <v>45418.0</v>
      </c>
      <c r="O7" s="40">
        <f t="shared" si="3"/>
        <v>52.04</v>
      </c>
      <c r="P7" s="5">
        <f t="shared" si="4"/>
        <v>259.02</v>
      </c>
      <c r="Q7" s="5">
        <f t="shared" si="2"/>
        <v>43.17</v>
      </c>
    </row>
    <row r="8">
      <c r="A8" s="39">
        <v>45413.0</v>
      </c>
      <c r="B8" s="4" t="s">
        <v>57</v>
      </c>
      <c r="C8" s="21">
        <v>7.0</v>
      </c>
      <c r="E8" s="1" t="s">
        <v>64</v>
      </c>
      <c r="F8" s="5">
        <f>SUMIF(B:B,E8,C:C)+SUMIF(B:B,"Shoes",C:C)</f>
        <v>64.46</v>
      </c>
      <c r="H8" s="1" t="s">
        <v>72</v>
      </c>
      <c r="I8" s="5">
        <f>sum(F:F)+I2+C2</f>
        <v>2426.14</v>
      </c>
      <c r="N8" s="39">
        <v>45419.0</v>
      </c>
      <c r="O8" s="40">
        <f t="shared" si="3"/>
        <v>81.09</v>
      </c>
      <c r="P8" s="5">
        <f t="shared" si="4"/>
        <v>340.11</v>
      </c>
      <c r="Q8" s="5">
        <f t="shared" si="2"/>
        <v>48.58714286</v>
      </c>
    </row>
    <row r="9">
      <c r="A9" s="39">
        <v>45413.0</v>
      </c>
      <c r="B9" s="4" t="s">
        <v>57</v>
      </c>
      <c r="C9" s="21">
        <v>25.09</v>
      </c>
      <c r="E9" s="1" t="s">
        <v>54</v>
      </c>
      <c r="F9" s="5">
        <f>SUMIF(B:B,E9,C:C)+SUMIF(B:B,"Phone",C:C)</f>
        <v>1148.8</v>
      </c>
      <c r="H9" s="1" t="s">
        <v>74</v>
      </c>
      <c r="I9" s="5">
        <f>I7-I8</f>
        <v>234.28</v>
      </c>
      <c r="N9" s="39">
        <v>45420.0</v>
      </c>
      <c r="O9" s="40">
        <f t="shared" si="3"/>
        <v>48.57</v>
      </c>
      <c r="P9" s="5">
        <f t="shared" si="4"/>
        <v>388.68</v>
      </c>
      <c r="Q9" s="5">
        <f t="shared" si="2"/>
        <v>48.585</v>
      </c>
    </row>
    <row r="10">
      <c r="A10" s="39">
        <v>45413.0</v>
      </c>
      <c r="B10" s="4" t="s">
        <v>52</v>
      </c>
      <c r="C10" s="21">
        <v>10.08</v>
      </c>
      <c r="E10" s="1" t="s">
        <v>127</v>
      </c>
      <c r="F10" s="5">
        <f>SUMIF(B:B,E10,C:C)</f>
        <v>48.5</v>
      </c>
      <c r="N10" s="39">
        <v>45421.0</v>
      </c>
      <c r="O10" s="40">
        <f t="shared" si="3"/>
        <v>14.45</v>
      </c>
      <c r="P10" s="5">
        <f t="shared" si="4"/>
        <v>403.13</v>
      </c>
      <c r="Q10" s="5">
        <f t="shared" si="2"/>
        <v>44.79222222</v>
      </c>
    </row>
    <row r="11">
      <c r="A11" s="39">
        <v>45414.0</v>
      </c>
      <c r="B11" s="4" t="s">
        <v>47</v>
      </c>
      <c r="C11" s="21">
        <v>8.9</v>
      </c>
      <c r="E11" s="1" t="s">
        <v>164</v>
      </c>
      <c r="F11" s="48">
        <f>SUMIF(B:B,"Cigs",C:C) + SUMIF(B:B,"Snus",C:C)</f>
        <v>15.99</v>
      </c>
      <c r="H11" s="1" t="s">
        <v>3</v>
      </c>
      <c r="I11" s="28">
        <f>I4/I6</f>
        <v>0.2597346528</v>
      </c>
      <c r="N11" s="39">
        <v>45422.0</v>
      </c>
      <c r="O11" s="40">
        <f t="shared" si="3"/>
        <v>28.4</v>
      </c>
      <c r="P11" s="5">
        <f t="shared" si="4"/>
        <v>431.53</v>
      </c>
      <c r="Q11" s="5">
        <f t="shared" si="2"/>
        <v>43.153</v>
      </c>
    </row>
    <row r="12">
      <c r="A12" s="39">
        <v>45415.0</v>
      </c>
      <c r="B12" s="4" t="s">
        <v>53</v>
      </c>
      <c r="C12" s="21">
        <v>13.86</v>
      </c>
      <c r="E12" s="1" t="s">
        <v>73</v>
      </c>
      <c r="F12" s="5">
        <f>SUMIF(B:B,"Uber",C:C)</f>
        <v>8.9</v>
      </c>
      <c r="N12" s="39">
        <v>45423.0</v>
      </c>
      <c r="O12" s="40">
        <f t="shared" si="3"/>
        <v>20.76</v>
      </c>
      <c r="P12" s="5">
        <f t="shared" si="4"/>
        <v>452.29</v>
      </c>
      <c r="Q12" s="5">
        <f t="shared" si="2"/>
        <v>41.11727273</v>
      </c>
    </row>
    <row r="13">
      <c r="A13" s="39">
        <v>45416.0</v>
      </c>
      <c r="B13" s="4" t="s">
        <v>47</v>
      </c>
      <c r="C13" s="40">
        <f>1.25+4.85+2.7+1.3+3.45</f>
        <v>13.55</v>
      </c>
      <c r="E13" s="1" t="s">
        <v>75</v>
      </c>
      <c r="F13" s="40">
        <f>SUMIF(B:B,"Gym",C:C)+SUMIF(B:B,"Climbing",C:C)+SUMIF(B:B,"Tennis",C:C)</f>
        <v>52.99</v>
      </c>
      <c r="N13" s="39">
        <v>45424.0</v>
      </c>
      <c r="O13" s="40">
        <f t="shared" si="3"/>
        <v>15.53</v>
      </c>
      <c r="P13" s="5">
        <f t="shared" si="4"/>
        <v>467.82</v>
      </c>
      <c r="Q13" s="5">
        <f t="shared" si="2"/>
        <v>38.985</v>
      </c>
    </row>
    <row r="14">
      <c r="A14" s="39">
        <v>45416.0</v>
      </c>
      <c r="B14" s="4" t="s">
        <v>45</v>
      </c>
      <c r="C14" s="21">
        <v>22.0</v>
      </c>
      <c r="E14" s="1" t="s">
        <v>76</v>
      </c>
      <c r="F14" s="5">
        <f>SUMIF(B:B,"Coffee",C:C)</f>
        <v>20.8</v>
      </c>
      <c r="H14" s="19"/>
      <c r="N14" s="39">
        <v>45425.0</v>
      </c>
      <c r="O14" s="40">
        <f t="shared" si="3"/>
        <v>47.9</v>
      </c>
      <c r="P14" s="5">
        <f t="shared" si="4"/>
        <v>515.72</v>
      </c>
      <c r="Q14" s="5">
        <f t="shared" si="2"/>
        <v>39.67076923</v>
      </c>
    </row>
    <row r="15">
      <c r="A15" s="39">
        <v>45418.0</v>
      </c>
      <c r="B15" s="4" t="s">
        <v>127</v>
      </c>
      <c r="C15" s="21">
        <v>7.7</v>
      </c>
      <c r="E15" s="1"/>
      <c r="H15" s="19"/>
      <c r="N15" s="39">
        <v>45426.0</v>
      </c>
      <c r="O15" s="40">
        <f t="shared" si="3"/>
        <v>16.85</v>
      </c>
      <c r="P15" s="5">
        <f t="shared" si="4"/>
        <v>532.57</v>
      </c>
      <c r="Q15" s="5">
        <f t="shared" si="2"/>
        <v>38.04071429</v>
      </c>
    </row>
    <row r="16">
      <c r="A16" s="39">
        <v>45418.0</v>
      </c>
      <c r="B16" s="4" t="s">
        <v>47</v>
      </c>
      <c r="C16" s="21">
        <v>4.35</v>
      </c>
      <c r="E16" s="1"/>
      <c r="H16" s="19"/>
      <c r="N16" s="39">
        <v>45427.0</v>
      </c>
      <c r="O16" s="40">
        <f t="shared" si="3"/>
        <v>19.35</v>
      </c>
      <c r="P16" s="5">
        <f t="shared" si="4"/>
        <v>551.92</v>
      </c>
      <c r="Q16" s="5">
        <f t="shared" si="2"/>
        <v>36.79466667</v>
      </c>
    </row>
    <row r="17">
      <c r="A17" s="39">
        <v>45418.0</v>
      </c>
      <c r="B17" s="4" t="s">
        <v>353</v>
      </c>
      <c r="C17" s="21">
        <v>39.99</v>
      </c>
      <c r="H17" s="19"/>
      <c r="N17" s="39">
        <v>45428.0</v>
      </c>
      <c r="O17" s="40">
        <f t="shared" si="3"/>
        <v>0</v>
      </c>
      <c r="P17" s="5">
        <f t="shared" si="4"/>
        <v>551.92</v>
      </c>
      <c r="Q17" s="5">
        <f t="shared" si="2"/>
        <v>34.495</v>
      </c>
    </row>
    <row r="18">
      <c r="A18" s="39">
        <v>45419.0</v>
      </c>
      <c r="B18" s="4" t="s">
        <v>354</v>
      </c>
      <c r="C18" s="21">
        <f>174.99-115</f>
        <v>59.99</v>
      </c>
      <c r="H18" s="19"/>
      <c r="N18" s="39">
        <v>45429.0</v>
      </c>
      <c r="O18" s="40">
        <f t="shared" si="3"/>
        <v>23.86</v>
      </c>
      <c r="P18" s="5">
        <f t="shared" si="4"/>
        <v>575.78</v>
      </c>
      <c r="Q18" s="5">
        <f t="shared" si="2"/>
        <v>33.86941176</v>
      </c>
    </row>
    <row r="19">
      <c r="A19" s="39">
        <v>45419.0</v>
      </c>
      <c r="B19" s="4" t="s">
        <v>47</v>
      </c>
      <c r="C19" s="21">
        <v>7.05</v>
      </c>
      <c r="H19" s="19"/>
      <c r="N19" s="39">
        <v>45430.0</v>
      </c>
      <c r="O19" s="40">
        <f t="shared" si="3"/>
        <v>0</v>
      </c>
      <c r="P19" s="5">
        <f t="shared" si="4"/>
        <v>575.78</v>
      </c>
      <c r="Q19" s="5">
        <f t="shared" si="2"/>
        <v>31.98777778</v>
      </c>
    </row>
    <row r="20">
      <c r="A20" s="39">
        <v>45419.0</v>
      </c>
      <c r="B20" s="4" t="s">
        <v>355</v>
      </c>
      <c r="C20" s="21">
        <f>6.8+7.25</f>
        <v>14.05</v>
      </c>
      <c r="H20" s="19"/>
      <c r="N20" s="39">
        <v>45431.0</v>
      </c>
      <c r="O20" s="40">
        <f t="shared" si="3"/>
        <v>11.13</v>
      </c>
      <c r="P20" s="5">
        <f t="shared" si="4"/>
        <v>586.91</v>
      </c>
      <c r="Q20" s="5">
        <f t="shared" si="2"/>
        <v>30.89</v>
      </c>
    </row>
    <row r="21">
      <c r="A21" s="39">
        <v>45420.0</v>
      </c>
      <c r="B21" s="4" t="s">
        <v>302</v>
      </c>
      <c r="C21" s="21">
        <v>20.96</v>
      </c>
      <c r="E21" s="19"/>
      <c r="F21" s="5"/>
      <c r="H21" s="19"/>
      <c r="N21" s="39">
        <v>45432.0</v>
      </c>
      <c r="O21" s="40">
        <f t="shared" si="3"/>
        <v>24.85</v>
      </c>
      <c r="P21" s="5">
        <f t="shared" si="4"/>
        <v>611.76</v>
      </c>
      <c r="Q21" s="5">
        <f t="shared" si="2"/>
        <v>30.588</v>
      </c>
    </row>
    <row r="22">
      <c r="A22" s="39">
        <v>45420.0</v>
      </c>
      <c r="B22" s="4" t="s">
        <v>127</v>
      </c>
      <c r="C22" s="21">
        <v>5.6</v>
      </c>
      <c r="E22" s="19"/>
      <c r="F22" s="5"/>
      <c r="H22" s="19"/>
      <c r="N22" s="39">
        <v>45433.0</v>
      </c>
      <c r="O22" s="40">
        <f t="shared" si="3"/>
        <v>94.06</v>
      </c>
      <c r="P22" s="5">
        <f t="shared" si="4"/>
        <v>705.82</v>
      </c>
      <c r="Q22" s="5">
        <f t="shared" si="2"/>
        <v>33.61047619</v>
      </c>
    </row>
    <row r="23">
      <c r="A23" s="39">
        <v>45420.0</v>
      </c>
      <c r="B23" s="4" t="s">
        <v>53</v>
      </c>
      <c r="C23" s="21">
        <v>7.02</v>
      </c>
      <c r="E23" s="19"/>
      <c r="F23" s="5"/>
      <c r="H23" s="19"/>
      <c r="N23" s="39">
        <v>45434.0</v>
      </c>
      <c r="O23" s="40">
        <f t="shared" si="3"/>
        <v>43.26</v>
      </c>
      <c r="P23" s="5">
        <f t="shared" si="4"/>
        <v>749.08</v>
      </c>
      <c r="Q23" s="5">
        <f t="shared" si="2"/>
        <v>34.04909091</v>
      </c>
    </row>
    <row r="24">
      <c r="A24" s="39">
        <v>45420.0</v>
      </c>
      <c r="B24" s="4" t="s">
        <v>356</v>
      </c>
      <c r="C24" s="21">
        <v>14.99</v>
      </c>
      <c r="E24" s="19"/>
      <c r="F24" s="5"/>
      <c r="H24" s="19"/>
      <c r="N24" s="39">
        <v>45435.0</v>
      </c>
      <c r="O24" s="40">
        <f t="shared" si="3"/>
        <v>17.68</v>
      </c>
      <c r="P24" s="5">
        <f t="shared" si="4"/>
        <v>766.76</v>
      </c>
      <c r="Q24" s="5">
        <f t="shared" si="2"/>
        <v>33.3373913</v>
      </c>
    </row>
    <row r="25">
      <c r="A25" s="39">
        <v>45421.0</v>
      </c>
      <c r="B25" s="4" t="s">
        <v>140</v>
      </c>
      <c r="C25" s="21">
        <v>10.0</v>
      </c>
      <c r="E25" s="19"/>
      <c r="F25" s="5"/>
      <c r="H25" s="19"/>
      <c r="N25" s="39">
        <v>45436.0</v>
      </c>
      <c r="O25" s="40">
        <f t="shared" si="3"/>
        <v>22.99</v>
      </c>
      <c r="P25" s="5">
        <f t="shared" si="4"/>
        <v>789.75</v>
      </c>
      <c r="Q25" s="5">
        <f t="shared" si="2"/>
        <v>32.90625</v>
      </c>
    </row>
    <row r="26">
      <c r="A26" s="39">
        <v>45421.0</v>
      </c>
      <c r="B26" s="4" t="s">
        <v>47</v>
      </c>
      <c r="C26" s="40">
        <f>1.25+3.2</f>
        <v>4.45</v>
      </c>
      <c r="E26" s="19"/>
      <c r="F26" s="5"/>
      <c r="H26" s="19"/>
      <c r="N26" s="39">
        <v>45437.0</v>
      </c>
      <c r="O26" s="40">
        <f t="shared" si="3"/>
        <v>23.79</v>
      </c>
      <c r="P26" s="5">
        <f t="shared" si="4"/>
        <v>813.54</v>
      </c>
      <c r="Q26" s="5">
        <f t="shared" si="2"/>
        <v>32.5416</v>
      </c>
    </row>
    <row r="27">
      <c r="A27" s="39">
        <v>45422.0</v>
      </c>
      <c r="B27" s="4" t="s">
        <v>210</v>
      </c>
      <c r="C27" s="21">
        <v>14.95</v>
      </c>
      <c r="E27" s="19"/>
      <c r="F27" s="5"/>
      <c r="H27" s="19"/>
      <c r="N27" s="39">
        <v>45438.0</v>
      </c>
      <c r="O27" s="40">
        <f t="shared" si="3"/>
        <v>0</v>
      </c>
      <c r="P27" s="5">
        <f t="shared" si="4"/>
        <v>813.54</v>
      </c>
      <c r="Q27" s="5">
        <f t="shared" si="2"/>
        <v>31.29</v>
      </c>
    </row>
    <row r="28">
      <c r="A28" s="39">
        <v>45422.0</v>
      </c>
      <c r="B28" s="4" t="s">
        <v>45</v>
      </c>
      <c r="C28" s="21">
        <v>13.45</v>
      </c>
      <c r="E28" s="19"/>
      <c r="F28" s="5"/>
      <c r="H28" s="19"/>
      <c r="N28" s="39">
        <v>45439.0</v>
      </c>
      <c r="O28" s="40">
        <f t="shared" si="3"/>
        <v>47.6</v>
      </c>
      <c r="P28" s="5">
        <f t="shared" si="4"/>
        <v>861.14</v>
      </c>
      <c r="Q28" s="5">
        <f t="shared" si="2"/>
        <v>31.89407407</v>
      </c>
    </row>
    <row r="29">
      <c r="A29" s="39">
        <v>45423.0</v>
      </c>
      <c r="B29" s="4" t="s">
        <v>357</v>
      </c>
      <c r="C29" s="21">
        <v>12.0</v>
      </c>
      <c r="E29" s="19"/>
      <c r="F29" s="5"/>
      <c r="H29" s="19"/>
      <c r="N29" s="39">
        <v>45440.0</v>
      </c>
      <c r="O29" s="40">
        <f t="shared" si="3"/>
        <v>94.8</v>
      </c>
      <c r="P29" s="5">
        <f t="shared" si="4"/>
        <v>955.94</v>
      </c>
      <c r="Q29" s="5">
        <f t="shared" si="2"/>
        <v>34.14071429</v>
      </c>
    </row>
    <row r="30">
      <c r="A30" s="39">
        <v>45423.0</v>
      </c>
      <c r="B30" s="4" t="s">
        <v>47</v>
      </c>
      <c r="C30" s="21">
        <v>8.76</v>
      </c>
      <c r="E30" s="19"/>
      <c r="F30" s="5"/>
      <c r="H30" s="19"/>
      <c r="N30" s="39">
        <v>45441.0</v>
      </c>
      <c r="O30" s="40">
        <f t="shared" si="3"/>
        <v>21.68</v>
      </c>
      <c r="P30" s="5">
        <f t="shared" si="4"/>
        <v>977.62</v>
      </c>
      <c r="Q30" s="5">
        <f t="shared" si="2"/>
        <v>33.71103448</v>
      </c>
    </row>
    <row r="31">
      <c r="A31" s="39">
        <v>45424.0</v>
      </c>
      <c r="B31" s="4" t="s">
        <v>209</v>
      </c>
      <c r="C31" s="21">
        <v>3.0</v>
      </c>
      <c r="E31" s="19"/>
      <c r="F31" s="5"/>
      <c r="H31" s="19"/>
      <c r="N31" s="39">
        <v>45442.0</v>
      </c>
      <c r="O31" s="40">
        <f t="shared" si="3"/>
        <v>7.05</v>
      </c>
      <c r="P31" s="5">
        <f t="shared" si="4"/>
        <v>984.67</v>
      </c>
      <c r="Q31" s="5">
        <f t="shared" si="2"/>
        <v>32.82233333</v>
      </c>
    </row>
    <row r="32">
      <c r="A32" s="39">
        <v>45424.0</v>
      </c>
      <c r="B32" s="4" t="s">
        <v>62</v>
      </c>
      <c r="C32" s="21">
        <v>0.78</v>
      </c>
      <c r="E32" s="19"/>
      <c r="F32" s="5"/>
      <c r="H32" s="19"/>
      <c r="N32" s="39">
        <v>45443.0</v>
      </c>
      <c r="O32" s="40">
        <f t="shared" si="3"/>
        <v>26.95</v>
      </c>
      <c r="P32" s="5">
        <f t="shared" si="4"/>
        <v>1011.62</v>
      </c>
      <c r="Q32" s="5">
        <f t="shared" si="2"/>
        <v>32.63290323</v>
      </c>
    </row>
    <row r="33">
      <c r="A33" s="39">
        <v>45424.0</v>
      </c>
      <c r="B33" s="4" t="s">
        <v>47</v>
      </c>
      <c r="C33" s="21">
        <v>7.95</v>
      </c>
      <c r="E33" s="19"/>
      <c r="F33" s="5"/>
      <c r="H33" s="19"/>
      <c r="N33" s="39"/>
      <c r="Q33" s="5"/>
    </row>
    <row r="34">
      <c r="A34" s="39">
        <v>45424.0</v>
      </c>
      <c r="B34" s="4" t="s">
        <v>127</v>
      </c>
      <c r="C34" s="4">
        <v>3.8</v>
      </c>
      <c r="E34" s="19"/>
      <c r="F34" s="5"/>
      <c r="H34" s="19"/>
      <c r="Q34" s="5"/>
    </row>
    <row r="35">
      <c r="A35" s="39">
        <v>45425.0</v>
      </c>
      <c r="B35" s="4" t="s">
        <v>140</v>
      </c>
      <c r="C35" s="21">
        <v>11.0</v>
      </c>
      <c r="E35" s="19"/>
      <c r="F35" s="5"/>
      <c r="H35" s="19"/>
      <c r="Q35" s="5"/>
    </row>
    <row r="36">
      <c r="A36" s="39">
        <v>45425.0</v>
      </c>
      <c r="B36" s="4" t="s">
        <v>76</v>
      </c>
      <c r="C36" s="21">
        <v>3.4</v>
      </c>
      <c r="E36" s="19"/>
      <c r="F36" s="5"/>
      <c r="H36" s="19"/>
      <c r="Q36" s="5"/>
    </row>
    <row r="37">
      <c r="A37" s="39">
        <v>45425.0</v>
      </c>
      <c r="B37" s="4" t="s">
        <v>62</v>
      </c>
      <c r="C37" s="21">
        <v>1.3</v>
      </c>
      <c r="E37" s="19"/>
      <c r="F37" s="5"/>
      <c r="H37" s="19"/>
      <c r="Q37" s="5"/>
    </row>
    <row r="38">
      <c r="A38" s="39">
        <v>45425.0</v>
      </c>
      <c r="B38" s="4" t="s">
        <v>119</v>
      </c>
      <c r="C38" s="21">
        <v>17.6</v>
      </c>
      <c r="E38" s="19"/>
      <c r="F38" s="5"/>
      <c r="H38" s="19"/>
      <c r="Q38" s="5"/>
    </row>
    <row r="39">
      <c r="A39" s="39">
        <v>45425.0</v>
      </c>
      <c r="B39" s="4" t="s">
        <v>119</v>
      </c>
      <c r="C39" s="21">
        <v>9.0</v>
      </c>
      <c r="E39" s="19"/>
      <c r="F39" s="5"/>
      <c r="H39" s="19"/>
      <c r="Q39" s="5"/>
    </row>
    <row r="40">
      <c r="A40" s="39">
        <v>45425.0</v>
      </c>
      <c r="B40" s="4" t="s">
        <v>47</v>
      </c>
      <c r="C40" s="21">
        <v>5.6</v>
      </c>
      <c r="E40" s="19"/>
      <c r="F40" s="5"/>
      <c r="H40" s="19"/>
      <c r="Q40" s="5"/>
    </row>
    <row r="41">
      <c r="A41" s="39">
        <v>45426.0</v>
      </c>
      <c r="B41" s="4" t="s">
        <v>47</v>
      </c>
      <c r="C41" s="21">
        <v>10.05</v>
      </c>
      <c r="E41" s="19"/>
      <c r="F41" s="5"/>
      <c r="H41" s="19"/>
      <c r="Q41" s="5"/>
    </row>
    <row r="42">
      <c r="A42" s="39">
        <v>45426.0</v>
      </c>
      <c r="B42" s="4" t="s">
        <v>127</v>
      </c>
      <c r="C42" s="21">
        <v>6.8</v>
      </c>
      <c r="E42" s="19"/>
      <c r="F42" s="5"/>
      <c r="H42" s="19"/>
      <c r="Q42" s="5"/>
    </row>
    <row r="43">
      <c r="A43" s="39">
        <v>45427.0</v>
      </c>
      <c r="B43" s="4" t="s">
        <v>47</v>
      </c>
      <c r="C43" s="21">
        <f>11.3+8.05</f>
        <v>19.35</v>
      </c>
      <c r="E43" s="19"/>
      <c r="F43" s="5"/>
      <c r="H43" s="19"/>
      <c r="Q43" s="5"/>
    </row>
    <row r="44">
      <c r="A44" s="39">
        <v>45429.0</v>
      </c>
      <c r="B44" s="4" t="s">
        <v>52</v>
      </c>
      <c r="C44" s="21">
        <v>15.0</v>
      </c>
      <c r="E44" s="19"/>
      <c r="F44" s="5"/>
      <c r="H44" s="19"/>
      <c r="Q44" s="5"/>
    </row>
    <row r="45">
      <c r="A45" s="39">
        <v>45429.0</v>
      </c>
      <c r="B45" s="4" t="s">
        <v>47</v>
      </c>
      <c r="C45" s="21">
        <v>8.86</v>
      </c>
      <c r="E45" s="19"/>
      <c r="F45" s="5"/>
      <c r="H45" s="19"/>
      <c r="Q45" s="5"/>
    </row>
    <row r="46">
      <c r="A46" s="39">
        <v>45431.0</v>
      </c>
      <c r="B46" s="4" t="s">
        <v>358</v>
      </c>
      <c r="C46" s="21">
        <v>3.3</v>
      </c>
      <c r="E46" s="19"/>
      <c r="F46" s="5"/>
      <c r="H46" s="19"/>
      <c r="Q46" s="5"/>
    </row>
    <row r="47">
      <c r="A47" s="39">
        <v>45431.0</v>
      </c>
      <c r="B47" s="4" t="s">
        <v>47</v>
      </c>
      <c r="C47" s="21">
        <v>7.83</v>
      </c>
      <c r="E47" s="19"/>
      <c r="F47" s="5"/>
      <c r="H47" s="19"/>
      <c r="Q47" s="5"/>
    </row>
    <row r="48">
      <c r="A48" s="39">
        <v>45432.0</v>
      </c>
      <c r="B48" s="4" t="s">
        <v>62</v>
      </c>
      <c r="C48" s="21">
        <f>1.1+4.25</f>
        <v>5.35</v>
      </c>
      <c r="E48" s="19"/>
      <c r="F48" s="5"/>
      <c r="H48" s="19"/>
      <c r="Q48" s="5"/>
    </row>
    <row r="49">
      <c r="A49" s="39">
        <v>45432.0</v>
      </c>
      <c r="B49" s="4" t="s">
        <v>140</v>
      </c>
      <c r="C49" s="21">
        <v>9.6</v>
      </c>
      <c r="E49" s="19"/>
      <c r="F49" s="5"/>
      <c r="H49" s="19"/>
      <c r="Q49" s="5"/>
    </row>
    <row r="50">
      <c r="A50" s="39">
        <v>45432.0</v>
      </c>
      <c r="B50" s="4" t="s">
        <v>127</v>
      </c>
      <c r="C50" s="21">
        <v>3.8</v>
      </c>
      <c r="E50" s="19"/>
      <c r="F50" s="5"/>
      <c r="H50" s="19"/>
      <c r="Q50" s="5"/>
    </row>
    <row r="51">
      <c r="A51" s="39">
        <v>45432.0</v>
      </c>
      <c r="B51" s="4" t="s">
        <v>47</v>
      </c>
      <c r="C51" s="21">
        <v>6.1</v>
      </c>
      <c r="E51" s="19"/>
      <c r="F51" s="5"/>
      <c r="H51" s="19"/>
      <c r="Q51" s="5"/>
    </row>
    <row r="52">
      <c r="A52" s="39">
        <v>45433.0</v>
      </c>
      <c r="B52" s="4" t="s">
        <v>64</v>
      </c>
      <c r="C52" s="21">
        <v>14.62</v>
      </c>
      <c r="E52" s="19"/>
      <c r="F52" s="5"/>
      <c r="H52" s="19"/>
      <c r="Q52" s="5"/>
    </row>
    <row r="53">
      <c r="A53" s="39">
        <v>45433.0</v>
      </c>
      <c r="B53" s="4" t="s">
        <v>127</v>
      </c>
      <c r="C53" s="21">
        <v>6.8</v>
      </c>
      <c r="E53" s="19"/>
      <c r="F53" s="5"/>
      <c r="H53" s="19"/>
      <c r="Q53" s="5"/>
    </row>
    <row r="54">
      <c r="A54" s="39">
        <v>45433.0</v>
      </c>
      <c r="B54" s="4" t="s">
        <v>45</v>
      </c>
      <c r="C54" s="21">
        <f>6.75+12+15.5+12.4</f>
        <v>46.65</v>
      </c>
      <c r="E54" s="19"/>
      <c r="F54" s="5"/>
      <c r="H54" s="19"/>
      <c r="Q54" s="5"/>
    </row>
    <row r="55">
      <c r="A55" s="39">
        <v>45433.0</v>
      </c>
      <c r="B55" s="4" t="s">
        <v>164</v>
      </c>
      <c r="C55" s="21">
        <v>15.99</v>
      </c>
      <c r="E55" s="19"/>
      <c r="F55" s="5"/>
      <c r="H55" s="19"/>
      <c r="Q55" s="5"/>
    </row>
    <row r="56">
      <c r="A56" s="39">
        <v>45433.0</v>
      </c>
      <c r="B56" s="4" t="s">
        <v>359</v>
      </c>
      <c r="C56" s="21">
        <v>10.0</v>
      </c>
      <c r="E56" s="19"/>
      <c r="F56" s="5"/>
      <c r="H56" s="19"/>
      <c r="Q56" s="5"/>
    </row>
    <row r="57">
      <c r="A57" s="39">
        <v>45434.0</v>
      </c>
      <c r="B57" s="4" t="s">
        <v>209</v>
      </c>
      <c r="C57" s="21">
        <v>9.96</v>
      </c>
      <c r="E57" s="19"/>
      <c r="F57" s="5"/>
      <c r="H57" s="19"/>
      <c r="Q57" s="5"/>
    </row>
    <row r="58">
      <c r="A58" s="39">
        <v>45434.0</v>
      </c>
      <c r="B58" s="4" t="s">
        <v>47</v>
      </c>
      <c r="C58" s="21">
        <v>7.3</v>
      </c>
      <c r="E58" s="19"/>
      <c r="F58" s="5"/>
      <c r="H58" s="19"/>
      <c r="Q58" s="5"/>
    </row>
    <row r="59">
      <c r="A59" s="39">
        <v>45434.0</v>
      </c>
      <c r="B59" s="4" t="s">
        <v>45</v>
      </c>
      <c r="C59" s="21">
        <v>26.0</v>
      </c>
      <c r="E59" s="19"/>
      <c r="F59" s="5"/>
      <c r="H59" s="19"/>
      <c r="Q59" s="5"/>
    </row>
    <row r="60">
      <c r="A60" s="39">
        <v>45435.0</v>
      </c>
      <c r="B60" s="4" t="s">
        <v>47</v>
      </c>
      <c r="C60" s="21">
        <v>4.05</v>
      </c>
      <c r="E60" s="19"/>
      <c r="F60" s="5"/>
      <c r="H60" s="19"/>
      <c r="Q60" s="5"/>
    </row>
    <row r="61">
      <c r="A61" s="39">
        <v>45435.0</v>
      </c>
      <c r="B61" s="4" t="s">
        <v>59</v>
      </c>
      <c r="C61" s="21">
        <v>10.83</v>
      </c>
      <c r="E61" s="19"/>
      <c r="F61" s="5"/>
      <c r="H61" s="19"/>
      <c r="Q61" s="5"/>
    </row>
    <row r="62">
      <c r="A62" s="39">
        <v>45435.0</v>
      </c>
      <c r="B62" s="4" t="s">
        <v>127</v>
      </c>
      <c r="C62" s="21">
        <v>2.8</v>
      </c>
      <c r="E62" s="19"/>
      <c r="F62" s="5"/>
      <c r="H62" s="19"/>
      <c r="Q62" s="5"/>
    </row>
    <row r="63">
      <c r="A63" s="39">
        <v>45436.0</v>
      </c>
      <c r="B63" s="4" t="s">
        <v>140</v>
      </c>
      <c r="C63" s="21">
        <v>7.49</v>
      </c>
      <c r="E63" s="19"/>
      <c r="F63" s="5"/>
      <c r="H63" s="19"/>
      <c r="Q63" s="5"/>
    </row>
    <row r="64">
      <c r="A64" s="39">
        <v>45436.0</v>
      </c>
      <c r="B64" s="4" t="s">
        <v>76</v>
      </c>
      <c r="C64" s="21">
        <v>13.6</v>
      </c>
      <c r="E64" s="19"/>
      <c r="F64" s="5"/>
      <c r="H64" s="19"/>
      <c r="Q64" s="5"/>
    </row>
    <row r="65">
      <c r="A65" s="39">
        <v>45436.0</v>
      </c>
      <c r="B65" s="4" t="s">
        <v>127</v>
      </c>
      <c r="C65" s="21">
        <v>1.9</v>
      </c>
      <c r="E65" s="19"/>
      <c r="F65" s="5"/>
      <c r="H65" s="19"/>
      <c r="Q65" s="5"/>
    </row>
    <row r="66">
      <c r="A66" s="39">
        <v>45437.0</v>
      </c>
      <c r="B66" s="4" t="s">
        <v>64</v>
      </c>
      <c r="C66" s="21">
        <v>20.99</v>
      </c>
      <c r="E66" s="19"/>
      <c r="F66" s="5"/>
      <c r="H66" s="19"/>
      <c r="Q66" s="5"/>
    </row>
    <row r="67">
      <c r="A67" s="39">
        <v>45437.0</v>
      </c>
      <c r="B67" s="4" t="s">
        <v>127</v>
      </c>
      <c r="C67" s="21">
        <v>2.8</v>
      </c>
      <c r="E67" s="19"/>
      <c r="F67" s="5"/>
      <c r="H67" s="19"/>
      <c r="Q67" s="5"/>
    </row>
    <row r="68">
      <c r="A68" s="39">
        <v>45439.0</v>
      </c>
      <c r="B68" s="4" t="s">
        <v>64</v>
      </c>
      <c r="C68" s="21">
        <v>28.85</v>
      </c>
      <c r="E68" s="19"/>
      <c r="F68" s="5"/>
      <c r="H68" s="19"/>
      <c r="Q68" s="5"/>
    </row>
    <row r="69">
      <c r="A69" s="39">
        <v>45439.0</v>
      </c>
      <c r="B69" s="4" t="s">
        <v>73</v>
      </c>
      <c r="C69" s="21">
        <v>8.9</v>
      </c>
      <c r="E69" s="19"/>
      <c r="F69" s="5"/>
      <c r="H69" s="19"/>
      <c r="Q69" s="5"/>
    </row>
    <row r="70">
      <c r="A70" s="39">
        <v>45439.0</v>
      </c>
      <c r="B70" s="4" t="s">
        <v>140</v>
      </c>
      <c r="C70" s="21">
        <v>9.85</v>
      </c>
      <c r="E70" s="19"/>
      <c r="F70" s="5"/>
      <c r="H70" s="19"/>
      <c r="Q70" s="5"/>
    </row>
    <row r="71">
      <c r="A71" s="39">
        <v>45440.0</v>
      </c>
      <c r="B71" s="4" t="s">
        <v>253</v>
      </c>
      <c r="C71" s="43">
        <v>44.99</v>
      </c>
      <c r="E71" s="19"/>
      <c r="F71" s="5"/>
      <c r="H71" s="19"/>
      <c r="Q71" s="5"/>
    </row>
    <row r="72">
      <c r="A72" s="39">
        <v>45440.0</v>
      </c>
      <c r="B72" s="4" t="s">
        <v>271</v>
      </c>
      <c r="C72" s="21">
        <v>8.0</v>
      </c>
      <c r="E72" s="19"/>
      <c r="F72" s="5"/>
      <c r="H72" s="19"/>
      <c r="Q72" s="5"/>
    </row>
    <row r="73">
      <c r="A73" s="39">
        <v>45440.0</v>
      </c>
      <c r="B73" s="4" t="s">
        <v>110</v>
      </c>
      <c r="C73" s="21">
        <v>20.0</v>
      </c>
      <c r="E73" s="19"/>
      <c r="F73" s="5"/>
      <c r="H73" s="19"/>
      <c r="Q73" s="5"/>
    </row>
    <row r="74">
      <c r="A74" s="39">
        <v>45440.0</v>
      </c>
      <c r="B74" s="4" t="s">
        <v>47</v>
      </c>
      <c r="C74" s="21">
        <v>19.01</v>
      </c>
      <c r="E74" s="19"/>
      <c r="F74" s="5"/>
      <c r="H74" s="19"/>
      <c r="Q74" s="5"/>
    </row>
    <row r="75">
      <c r="A75" s="39">
        <v>45440.0</v>
      </c>
      <c r="B75" s="4" t="s">
        <v>127</v>
      </c>
      <c r="C75" s="21">
        <v>2.8</v>
      </c>
      <c r="E75" s="19"/>
      <c r="F75" s="5"/>
      <c r="H75" s="19"/>
      <c r="Q75" s="5"/>
    </row>
    <row r="76">
      <c r="A76" s="39">
        <v>45441.0</v>
      </c>
      <c r="B76" s="4" t="s">
        <v>59</v>
      </c>
      <c r="C76" s="21">
        <v>21.68</v>
      </c>
      <c r="E76" s="19"/>
      <c r="F76" s="5"/>
      <c r="H76" s="19"/>
      <c r="Q76" s="5"/>
    </row>
    <row r="77">
      <c r="A77" s="39">
        <v>45442.0</v>
      </c>
      <c r="B77" s="4" t="s">
        <v>127</v>
      </c>
      <c r="C77" s="21">
        <v>3.7</v>
      </c>
      <c r="E77" s="19"/>
      <c r="F77" s="5"/>
      <c r="H77" s="19"/>
      <c r="Q77" s="5"/>
    </row>
    <row r="78">
      <c r="A78" s="39">
        <v>45442.0</v>
      </c>
      <c r="B78" s="4" t="s">
        <v>47</v>
      </c>
      <c r="C78" s="21">
        <v>3.35</v>
      </c>
      <c r="E78" s="19"/>
      <c r="F78" s="5"/>
      <c r="H78" s="19"/>
      <c r="Q78" s="5"/>
    </row>
    <row r="79">
      <c r="A79" s="39">
        <v>45443.0</v>
      </c>
      <c r="B79" s="4" t="s">
        <v>62</v>
      </c>
      <c r="C79" s="21">
        <v>2.15</v>
      </c>
      <c r="E79" s="19"/>
      <c r="F79" s="5"/>
      <c r="H79" s="19"/>
      <c r="Q79" s="5"/>
    </row>
    <row r="80">
      <c r="A80" s="39">
        <v>45443.0</v>
      </c>
      <c r="B80" s="4" t="s">
        <v>140</v>
      </c>
      <c r="C80" s="4">
        <v>19.0</v>
      </c>
      <c r="E80" s="19"/>
      <c r="F80" s="5"/>
      <c r="H80" s="19"/>
      <c r="Q80" s="5"/>
    </row>
    <row r="81">
      <c r="A81" s="39">
        <v>45443.0</v>
      </c>
      <c r="B81" s="4" t="s">
        <v>76</v>
      </c>
      <c r="C81" s="21">
        <v>3.8</v>
      </c>
      <c r="E81" s="19"/>
      <c r="F81" s="5"/>
      <c r="H81" s="19"/>
      <c r="Q81" s="5"/>
    </row>
    <row r="82">
      <c r="A82" s="39">
        <v>45443.0</v>
      </c>
      <c r="B82" s="4" t="s">
        <v>287</v>
      </c>
      <c r="C82" s="21">
        <v>2.0</v>
      </c>
      <c r="E82" s="19"/>
      <c r="F82" s="5"/>
      <c r="H82" s="19"/>
      <c r="Q82" s="5"/>
    </row>
    <row r="83">
      <c r="A83" s="39"/>
      <c r="C83" s="21"/>
      <c r="E83" s="19"/>
      <c r="F83" s="5"/>
      <c r="H83" s="19"/>
      <c r="Q83" s="5"/>
    </row>
    <row r="84">
      <c r="A84" s="39"/>
      <c r="C84" s="21"/>
      <c r="E84" s="19"/>
      <c r="F84" s="5"/>
      <c r="H84" s="19"/>
      <c r="Q84" s="5"/>
    </row>
    <row r="85">
      <c r="A85" s="39"/>
      <c r="C85" s="21"/>
      <c r="E85" s="19"/>
      <c r="F85" s="5"/>
      <c r="H85" s="19"/>
      <c r="Q85" s="5"/>
    </row>
    <row r="86">
      <c r="A86" s="39"/>
      <c r="C86" s="21"/>
      <c r="E86" s="19"/>
      <c r="F86" s="5"/>
      <c r="H86" s="19"/>
      <c r="Q86" s="5"/>
    </row>
    <row r="87">
      <c r="A87" s="39"/>
      <c r="C87" s="21"/>
      <c r="E87" s="19"/>
      <c r="F87" s="5"/>
      <c r="H87" s="19"/>
      <c r="Q87" s="5"/>
    </row>
    <row r="88">
      <c r="A88" s="39"/>
      <c r="C88" s="21"/>
      <c r="E88" s="19"/>
      <c r="F88" s="5"/>
      <c r="H88" s="19"/>
      <c r="Q88" s="5"/>
    </row>
    <row r="89">
      <c r="A89" s="39"/>
      <c r="C89" s="21"/>
      <c r="E89" s="19"/>
      <c r="F89" s="5"/>
      <c r="H89" s="19"/>
      <c r="Q89" s="5"/>
    </row>
    <row r="90">
      <c r="A90" s="39"/>
      <c r="C90" s="21"/>
      <c r="E90" s="19"/>
      <c r="F90" s="5"/>
      <c r="H90" s="19"/>
      <c r="Q90" s="5"/>
    </row>
    <row r="91">
      <c r="A91" s="39"/>
      <c r="C91" s="21"/>
      <c r="E91" s="19"/>
      <c r="F91" s="5"/>
      <c r="H91" s="19"/>
      <c r="Q91" s="5"/>
    </row>
    <row r="92">
      <c r="A92" s="39"/>
      <c r="C92" s="21"/>
      <c r="E92" s="19"/>
      <c r="F92" s="5"/>
      <c r="H92" s="19"/>
      <c r="Q92" s="5"/>
    </row>
    <row r="93">
      <c r="A93" s="39"/>
      <c r="C93" s="21"/>
      <c r="E93" s="19"/>
      <c r="F93" s="5"/>
      <c r="H93" s="19"/>
      <c r="Q93" s="5"/>
    </row>
    <row r="94">
      <c r="A94" s="39"/>
      <c r="C94" s="21"/>
      <c r="E94" s="19"/>
      <c r="F94" s="5"/>
      <c r="H94" s="19"/>
      <c r="Q94" s="5"/>
    </row>
    <row r="95">
      <c r="A95" s="39"/>
      <c r="C95" s="21"/>
      <c r="E95" s="19"/>
      <c r="F95" s="5"/>
      <c r="H95" s="19"/>
      <c r="Q95" s="5"/>
    </row>
    <row r="96">
      <c r="A96" s="39"/>
      <c r="C96" s="21"/>
      <c r="E96" s="19"/>
      <c r="F96" s="5"/>
      <c r="H96" s="19"/>
      <c r="Q96" s="5"/>
    </row>
    <row r="97">
      <c r="A97" s="39"/>
      <c r="C97" s="21"/>
      <c r="E97" s="19"/>
      <c r="F97" s="5"/>
      <c r="H97" s="19"/>
      <c r="Q97" s="5"/>
    </row>
    <row r="98">
      <c r="A98" s="39"/>
      <c r="C98" s="21"/>
      <c r="E98" s="19"/>
      <c r="F98" s="5"/>
      <c r="H98" s="19"/>
      <c r="Q98" s="5"/>
    </row>
    <row r="99">
      <c r="A99" s="39"/>
      <c r="C99" s="21"/>
      <c r="E99" s="19"/>
      <c r="F99" s="5"/>
      <c r="H99" s="19"/>
      <c r="Q99" s="5"/>
    </row>
    <row r="100">
      <c r="A100" s="39"/>
      <c r="C100" s="21"/>
      <c r="E100" s="19"/>
      <c r="F100" s="5"/>
      <c r="H100" s="19"/>
      <c r="Q100" s="5"/>
    </row>
    <row r="101">
      <c r="A101" s="44"/>
      <c r="C101" s="5"/>
      <c r="E101" s="19"/>
      <c r="F101" s="5"/>
      <c r="H101" s="19"/>
      <c r="Q101" s="5"/>
    </row>
    <row r="102">
      <c r="A102" s="44"/>
      <c r="C102" s="5"/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44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O1:O1000 Q1:Q1000">
    <cfRule type="cellIs" dxfId="0" priority="1" operator="lessThan">
      <formula>25</formula>
    </cfRule>
  </conditionalFormatting>
  <conditionalFormatting sqref="O1:O1000 Q1:Q1000">
    <cfRule type="cellIs" dxfId="6" priority="2" operator="lessThan">
      <formula>35</formula>
    </cfRule>
  </conditionalFormatting>
  <conditionalFormatting sqref="O1:O1000 Q1:Q1000">
    <cfRule type="cellIs" dxfId="1" priority="3" operator="greaterThanOrEqual">
      <formula>35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1">
    <cfRule type="cellIs" dxfId="3" priority="6" operator="greaterThan">
      <formula>0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62.43</v>
      </c>
      <c r="H1" s="1" t="s">
        <v>46</v>
      </c>
      <c r="I1" s="5">
        <f>I6-I7</f>
        <v>-356.345</v>
      </c>
      <c r="J1" s="19"/>
      <c r="K1" s="1" t="s">
        <v>47</v>
      </c>
      <c r="L1" s="5">
        <f t="shared" ref="L1:L4" si="1">SUMIF(B:B,K1,C:I)</f>
        <v>70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45383.0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23.47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30.8</v>
      </c>
      <c r="N2" s="39">
        <v>45383.0</v>
      </c>
      <c r="O2" s="5">
        <f>sumif(A:A,N2,C:C)-sum(C2:C5)</f>
        <v>167</v>
      </c>
      <c r="P2" s="5">
        <f>SUM(O2)</f>
        <v>167</v>
      </c>
      <c r="Q2" s="5">
        <f t="shared" ref="Q2:Q31" si="2">P2/(ROW()-1)</f>
        <v>167</v>
      </c>
    </row>
    <row r="3">
      <c r="A3" s="39">
        <v>45383.0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5.49</v>
      </c>
      <c r="H3" s="1" t="s">
        <v>8</v>
      </c>
      <c r="I3" s="5">
        <f>SUMIF(B:B,H3,C:C)+I1</f>
        <v>-106.345</v>
      </c>
      <c r="K3" s="1" t="s">
        <v>56</v>
      </c>
      <c r="L3" s="5">
        <f t="shared" si="1"/>
        <v>0</v>
      </c>
      <c r="N3" s="39">
        <v>45384.0</v>
      </c>
      <c r="O3" s="40">
        <f t="shared" ref="O3:O31" si="3">sumif(A:A,N3,C:C)</f>
        <v>70.38</v>
      </c>
      <c r="P3" s="5">
        <f t="shared" ref="P3:P31" si="4">P2+O3</f>
        <v>237.38</v>
      </c>
      <c r="Q3" s="5">
        <f t="shared" si="2"/>
        <v>118.69</v>
      </c>
    </row>
    <row r="4">
      <c r="A4" s="39">
        <v>45383.0</v>
      </c>
      <c r="B4" s="4" t="s">
        <v>6</v>
      </c>
      <c r="C4" s="21">
        <v>250.0</v>
      </c>
      <c r="E4" s="1" t="s">
        <v>140</v>
      </c>
      <c r="F4" s="5">
        <f t="shared" ref="F4:F5" si="5">SUMIF(B:B,E4,C:C)</f>
        <v>16.995</v>
      </c>
      <c r="H4" s="1" t="s">
        <v>58</v>
      </c>
      <c r="I4" s="5">
        <f>I2+I3</f>
        <v>143.655</v>
      </c>
      <c r="K4" s="1" t="s">
        <v>59</v>
      </c>
      <c r="L4" s="5">
        <f t="shared" si="1"/>
        <v>7.95</v>
      </c>
      <c r="N4" s="39">
        <v>45385.0</v>
      </c>
      <c r="O4" s="40">
        <f t="shared" si="3"/>
        <v>6.68</v>
      </c>
      <c r="P4" s="5">
        <f t="shared" si="4"/>
        <v>244.06</v>
      </c>
      <c r="Q4" s="5">
        <f t="shared" si="2"/>
        <v>81.35333333</v>
      </c>
    </row>
    <row r="5">
      <c r="A5" s="39">
        <v>45383.0</v>
      </c>
      <c r="B5" s="4" t="s">
        <v>252</v>
      </c>
      <c r="C5" s="21">
        <v>42.8</v>
      </c>
      <c r="E5" s="1" t="s">
        <v>210</v>
      </c>
      <c r="F5" s="5">
        <f t="shared" si="5"/>
        <v>45.15</v>
      </c>
      <c r="N5" s="39">
        <v>45386.0</v>
      </c>
      <c r="O5" s="40">
        <f t="shared" si="3"/>
        <v>54.85</v>
      </c>
      <c r="P5" s="5">
        <f t="shared" si="4"/>
        <v>298.91</v>
      </c>
      <c r="Q5" s="5">
        <f t="shared" si="2"/>
        <v>74.7275</v>
      </c>
    </row>
    <row r="6">
      <c r="A6" s="39">
        <v>45383.0</v>
      </c>
      <c r="B6" s="4" t="s">
        <v>360</v>
      </c>
      <c r="C6" s="21">
        <v>95.0</v>
      </c>
      <c r="E6" s="1" t="s">
        <v>57</v>
      </c>
      <c r="F6" s="5">
        <f>sum(L:L)+sumif(B:B,"Groceries",C:C)</f>
        <v>116.01</v>
      </c>
      <c r="H6" s="1" t="s">
        <v>65</v>
      </c>
      <c r="I6" s="49">
        <v>2862.4</v>
      </c>
      <c r="N6" s="39">
        <v>45387.0</v>
      </c>
      <c r="O6" s="40">
        <f t="shared" si="3"/>
        <v>174.01</v>
      </c>
      <c r="P6" s="5">
        <f t="shared" si="4"/>
        <v>472.92</v>
      </c>
      <c r="Q6" s="5">
        <f t="shared" si="2"/>
        <v>94.584</v>
      </c>
    </row>
    <row r="7">
      <c r="A7" s="39">
        <v>45383.0</v>
      </c>
      <c r="B7" s="4" t="s">
        <v>361</v>
      </c>
      <c r="C7" s="21">
        <v>72.0</v>
      </c>
      <c r="E7" s="42" t="s">
        <v>61</v>
      </c>
      <c r="F7" s="5">
        <f>SUMIF(B:B,"Games",C:C)+SUMIF(B:B,"Spotify",C:C)+SUMIF(B:B,"Disney+",C:C)+SUMIF(B:B,"Book",C:C)+SUMIF(B:B,"Audible",C:C)+SUMIF(B:B,"Cinema",C:C)+SUMIF(B:B,"Theatre",C:C)</f>
        <v>18.72</v>
      </c>
      <c r="H7" s="1" t="s">
        <v>68</v>
      </c>
      <c r="I7" s="5">
        <f>sum(C:C)</f>
        <v>3218.745</v>
      </c>
      <c r="N7" s="39">
        <v>45388.0</v>
      </c>
      <c r="O7" s="40">
        <f t="shared" si="3"/>
        <v>25.42</v>
      </c>
      <c r="P7" s="5">
        <f t="shared" si="4"/>
        <v>498.34</v>
      </c>
      <c r="Q7" s="5">
        <f t="shared" si="2"/>
        <v>83.05666667</v>
      </c>
    </row>
    <row r="8">
      <c r="A8" s="39">
        <v>45384.0</v>
      </c>
      <c r="B8" s="4" t="s">
        <v>361</v>
      </c>
      <c r="C8" s="21">
        <v>70.38</v>
      </c>
      <c r="E8" s="1" t="s">
        <v>64</v>
      </c>
      <c r="F8" s="5">
        <f>SUMIF(B:B,E8,C:C)+SUMIF(B:B,"Shoes",C:C)</f>
        <v>179.92</v>
      </c>
      <c r="H8" s="1" t="s">
        <v>72</v>
      </c>
      <c r="I8" s="5">
        <f>sum(F:F)+I2+C2</f>
        <v>3010.455</v>
      </c>
      <c r="N8" s="39">
        <v>45389.0</v>
      </c>
      <c r="O8" s="40">
        <f t="shared" si="3"/>
        <v>24.07</v>
      </c>
      <c r="P8" s="5">
        <f t="shared" si="4"/>
        <v>522.41</v>
      </c>
      <c r="Q8" s="5">
        <f t="shared" si="2"/>
        <v>74.63</v>
      </c>
    </row>
    <row r="9">
      <c r="A9" s="39">
        <v>45385.0</v>
      </c>
      <c r="B9" s="4" t="s">
        <v>361</v>
      </c>
      <c r="C9" s="21">
        <v>6.68</v>
      </c>
      <c r="E9" s="1" t="s">
        <v>54</v>
      </c>
      <c r="F9" s="5">
        <f>SUMIF(B:B,E9,C:C)+SUMIF(B:B,"Phone",C:C)</f>
        <v>1147.8</v>
      </c>
      <c r="H9" s="1" t="s">
        <v>74</v>
      </c>
      <c r="I9" s="5">
        <f>I7-I8</f>
        <v>208.29</v>
      </c>
      <c r="N9" s="39">
        <v>45390.0</v>
      </c>
      <c r="O9" s="40">
        <f t="shared" si="3"/>
        <v>123.01</v>
      </c>
      <c r="P9" s="5">
        <f t="shared" si="4"/>
        <v>645.42</v>
      </c>
      <c r="Q9" s="5">
        <f t="shared" si="2"/>
        <v>80.6775</v>
      </c>
    </row>
    <row r="10">
      <c r="A10" s="39">
        <v>45386.0</v>
      </c>
      <c r="B10" s="4" t="s">
        <v>361</v>
      </c>
      <c r="C10" s="4">
        <v>54.85</v>
      </c>
      <c r="E10" s="1" t="s">
        <v>127</v>
      </c>
      <c r="F10" s="5">
        <f>SUMIF(B:B,E10,C:C)</f>
        <v>45.1</v>
      </c>
      <c r="N10" s="39">
        <v>45391.0</v>
      </c>
      <c r="O10" s="40">
        <f t="shared" si="3"/>
        <v>169.67</v>
      </c>
      <c r="P10" s="5">
        <f t="shared" si="4"/>
        <v>815.09</v>
      </c>
      <c r="Q10" s="5">
        <f t="shared" si="2"/>
        <v>90.56555556</v>
      </c>
    </row>
    <row r="11">
      <c r="A11" s="39">
        <v>45387.0</v>
      </c>
      <c r="B11" s="4" t="s">
        <v>361</v>
      </c>
      <c r="C11" s="21">
        <v>174.01</v>
      </c>
      <c r="E11" s="1" t="s">
        <v>164</v>
      </c>
      <c r="F11" s="48">
        <f>SUMIF(B:B,"Cigs",C:C) + SUMIF(B:B,"Snus",C:C)</f>
        <v>0</v>
      </c>
      <c r="H11" s="1" t="s">
        <v>3</v>
      </c>
      <c r="I11" s="28">
        <f>I4/I6</f>
        <v>0.05018690609</v>
      </c>
      <c r="N11" s="39">
        <v>45392.0</v>
      </c>
      <c r="O11" s="40">
        <f t="shared" si="3"/>
        <v>37.01</v>
      </c>
      <c r="P11" s="5">
        <f t="shared" si="4"/>
        <v>852.1</v>
      </c>
      <c r="Q11" s="5">
        <f t="shared" si="2"/>
        <v>85.21</v>
      </c>
    </row>
    <row r="12">
      <c r="A12" s="39">
        <v>45388.0</v>
      </c>
      <c r="B12" s="4" t="s">
        <v>361</v>
      </c>
      <c r="C12" s="21">
        <v>25.42</v>
      </c>
      <c r="E12" s="1" t="s">
        <v>73</v>
      </c>
      <c r="F12" s="5">
        <f>SUMIF(B:B,"Uber",C:C)</f>
        <v>21.47</v>
      </c>
      <c r="N12" s="39">
        <v>45393.0</v>
      </c>
      <c r="O12" s="40">
        <f t="shared" si="3"/>
        <v>54.56</v>
      </c>
      <c r="P12" s="5">
        <f t="shared" si="4"/>
        <v>906.66</v>
      </c>
      <c r="Q12" s="5">
        <f t="shared" si="2"/>
        <v>82.42363636</v>
      </c>
    </row>
    <row r="13">
      <c r="A13" s="39">
        <v>45389.0</v>
      </c>
      <c r="B13" s="4" t="s">
        <v>361</v>
      </c>
      <c r="C13" s="21">
        <v>24.07</v>
      </c>
      <c r="E13" s="1" t="s">
        <v>75</v>
      </c>
      <c r="F13" s="40">
        <f>SUMIF(B:B,"Gym",C:C)+SUMIF(B:B,"Climbing",C:C)</f>
        <v>52.57</v>
      </c>
      <c r="N13" s="39">
        <v>45394.0</v>
      </c>
      <c r="O13" s="40">
        <f t="shared" si="3"/>
        <v>25.03</v>
      </c>
      <c r="P13" s="5">
        <f t="shared" si="4"/>
        <v>931.69</v>
      </c>
      <c r="Q13" s="5">
        <f t="shared" si="2"/>
        <v>77.64083333</v>
      </c>
    </row>
    <row r="14">
      <c r="A14" s="50">
        <v>45390.0</v>
      </c>
      <c r="B14" s="4" t="s">
        <v>362</v>
      </c>
      <c r="C14" s="21">
        <v>8.0</v>
      </c>
      <c r="E14" s="1" t="s">
        <v>76</v>
      </c>
      <c r="F14" s="5">
        <f>SUMIF(B:B,"Coffee",C:C)</f>
        <v>15.7</v>
      </c>
      <c r="H14" s="19"/>
      <c r="N14" s="39">
        <v>45395.0</v>
      </c>
      <c r="O14" s="40">
        <f t="shared" si="3"/>
        <v>11.36</v>
      </c>
      <c r="P14" s="5">
        <f t="shared" si="4"/>
        <v>943.05</v>
      </c>
      <c r="Q14" s="5">
        <f t="shared" si="2"/>
        <v>72.54230769</v>
      </c>
    </row>
    <row r="15">
      <c r="A15" s="39">
        <v>45390.0</v>
      </c>
      <c r="B15" s="4" t="s">
        <v>361</v>
      </c>
      <c r="C15" s="21">
        <v>115.01</v>
      </c>
      <c r="E15" s="1" t="s">
        <v>77</v>
      </c>
      <c r="F15" s="40">
        <f>Sum(C10:C21, C7)</f>
        <v>759.63</v>
      </c>
      <c r="H15" s="19"/>
      <c r="N15" s="39">
        <v>45396.0</v>
      </c>
      <c r="O15" s="40">
        <f t="shared" si="3"/>
        <v>65.34</v>
      </c>
      <c r="P15" s="5">
        <f t="shared" si="4"/>
        <v>1008.39</v>
      </c>
      <c r="Q15" s="5">
        <f t="shared" si="2"/>
        <v>72.02785714</v>
      </c>
    </row>
    <row r="16">
      <c r="A16" s="39">
        <v>45391.0</v>
      </c>
      <c r="B16" s="4" t="s">
        <v>363</v>
      </c>
      <c r="C16" s="21">
        <v>20.97</v>
      </c>
      <c r="H16" s="19"/>
      <c r="N16" s="39">
        <v>45397.0</v>
      </c>
      <c r="O16" s="40">
        <f t="shared" si="3"/>
        <v>3</v>
      </c>
      <c r="P16" s="5">
        <f t="shared" si="4"/>
        <v>1011.39</v>
      </c>
      <c r="Q16" s="5">
        <f t="shared" si="2"/>
        <v>67.426</v>
      </c>
    </row>
    <row r="17">
      <c r="A17" s="39">
        <v>45391.0</v>
      </c>
      <c r="B17" s="4" t="s">
        <v>64</v>
      </c>
      <c r="C17" s="21">
        <v>105.3</v>
      </c>
      <c r="E17" s="1"/>
      <c r="H17" s="19"/>
      <c r="N17" s="39">
        <v>45398.0</v>
      </c>
      <c r="O17" s="40">
        <f t="shared" si="3"/>
        <v>9.99</v>
      </c>
      <c r="P17" s="5">
        <f t="shared" si="4"/>
        <v>1021.38</v>
      </c>
      <c r="Q17" s="5">
        <f t="shared" si="2"/>
        <v>63.83625</v>
      </c>
    </row>
    <row r="18">
      <c r="A18" s="39">
        <v>45391.0</v>
      </c>
      <c r="B18" s="4" t="s">
        <v>361</v>
      </c>
      <c r="C18" s="21">
        <v>43.4</v>
      </c>
      <c r="H18" s="19"/>
      <c r="N18" s="39">
        <v>45399.0</v>
      </c>
      <c r="O18" s="40">
        <f t="shared" si="3"/>
        <v>6.6</v>
      </c>
      <c r="P18" s="5">
        <f t="shared" si="4"/>
        <v>1027.98</v>
      </c>
      <c r="Q18" s="5">
        <f t="shared" si="2"/>
        <v>60.46941176</v>
      </c>
    </row>
    <row r="19">
      <c r="A19" s="39">
        <v>45392.0</v>
      </c>
      <c r="B19" s="4" t="s">
        <v>361</v>
      </c>
      <c r="C19" s="21">
        <v>37.01</v>
      </c>
      <c r="H19" s="19"/>
      <c r="N19" s="39">
        <v>45400.0</v>
      </c>
      <c r="O19" s="40">
        <f t="shared" si="3"/>
        <v>68.29</v>
      </c>
      <c r="P19" s="5">
        <f t="shared" si="4"/>
        <v>1096.27</v>
      </c>
      <c r="Q19" s="5">
        <f t="shared" si="2"/>
        <v>60.90388889</v>
      </c>
    </row>
    <row r="20">
      <c r="A20" s="39">
        <v>45393.0</v>
      </c>
      <c r="B20" s="4" t="s">
        <v>361</v>
      </c>
      <c r="C20" s="21">
        <f>134.56-80</f>
        <v>54.56</v>
      </c>
      <c r="H20" s="19"/>
      <c r="N20" s="39">
        <v>45401.0</v>
      </c>
      <c r="O20" s="40">
        <f t="shared" si="3"/>
        <v>17.85</v>
      </c>
      <c r="P20" s="5">
        <f t="shared" si="4"/>
        <v>1114.12</v>
      </c>
      <c r="Q20" s="5">
        <f t="shared" si="2"/>
        <v>58.63789474</v>
      </c>
    </row>
    <row r="21">
      <c r="A21" s="39">
        <v>45394.0</v>
      </c>
      <c r="B21" s="4" t="s">
        <v>361</v>
      </c>
      <c r="C21" s="21">
        <v>25.03</v>
      </c>
      <c r="E21" s="19"/>
      <c r="F21" s="5"/>
      <c r="H21" s="19"/>
      <c r="N21" s="39">
        <v>45402.0</v>
      </c>
      <c r="O21" s="40">
        <f t="shared" si="3"/>
        <v>28.6</v>
      </c>
      <c r="P21" s="5">
        <f t="shared" si="4"/>
        <v>1142.72</v>
      </c>
      <c r="Q21" s="5">
        <f t="shared" si="2"/>
        <v>57.136</v>
      </c>
    </row>
    <row r="22">
      <c r="A22" s="39">
        <v>45395.0</v>
      </c>
      <c r="B22" s="4" t="s">
        <v>57</v>
      </c>
      <c r="C22" s="21">
        <v>4.26</v>
      </c>
      <c r="E22" s="19"/>
      <c r="F22" s="5"/>
      <c r="H22" s="19"/>
      <c r="N22" s="39">
        <v>45403.0</v>
      </c>
      <c r="O22" s="40">
        <f t="shared" si="3"/>
        <v>47.19</v>
      </c>
      <c r="P22" s="5">
        <f t="shared" si="4"/>
        <v>1189.91</v>
      </c>
      <c r="Q22" s="5">
        <f t="shared" si="2"/>
        <v>56.66238095</v>
      </c>
    </row>
    <row r="23">
      <c r="A23" s="39">
        <v>45395.0</v>
      </c>
      <c r="B23" s="4" t="s">
        <v>127</v>
      </c>
      <c r="C23" s="21">
        <v>7.1</v>
      </c>
      <c r="E23" s="19"/>
      <c r="F23" s="5"/>
      <c r="H23" s="19"/>
      <c r="N23" s="39">
        <v>45404.0</v>
      </c>
      <c r="O23" s="40">
        <f t="shared" si="3"/>
        <v>20.24</v>
      </c>
      <c r="P23" s="5">
        <f t="shared" si="4"/>
        <v>1210.15</v>
      </c>
      <c r="Q23" s="5">
        <f t="shared" si="2"/>
        <v>55.00681818</v>
      </c>
    </row>
    <row r="24">
      <c r="A24" s="39">
        <v>45396.0</v>
      </c>
      <c r="B24" s="4" t="s">
        <v>363</v>
      </c>
      <c r="C24" s="21">
        <v>12.29</v>
      </c>
      <c r="E24" s="19"/>
      <c r="F24" s="5"/>
      <c r="H24" s="19"/>
      <c r="N24" s="39">
        <v>45405.0</v>
      </c>
      <c r="O24" s="40">
        <f t="shared" si="3"/>
        <v>124.15</v>
      </c>
      <c r="P24" s="5">
        <f t="shared" si="4"/>
        <v>1334.3</v>
      </c>
      <c r="Q24" s="5">
        <f t="shared" si="2"/>
        <v>58.01304348</v>
      </c>
    </row>
    <row r="25">
      <c r="A25" s="39">
        <v>45396.0</v>
      </c>
      <c r="B25" s="4" t="s">
        <v>358</v>
      </c>
      <c r="C25" s="4">
        <v>14.3</v>
      </c>
      <c r="E25" s="19"/>
      <c r="F25" s="5"/>
      <c r="H25" s="19"/>
      <c r="N25" s="39">
        <v>45406.0</v>
      </c>
      <c r="O25" s="40">
        <f t="shared" si="3"/>
        <v>9.8</v>
      </c>
      <c r="P25" s="5">
        <f t="shared" si="4"/>
        <v>1344.1</v>
      </c>
      <c r="Q25" s="5">
        <f t="shared" si="2"/>
        <v>56.00416667</v>
      </c>
    </row>
    <row r="26">
      <c r="A26" s="39">
        <v>45396.0</v>
      </c>
      <c r="B26" s="4" t="s">
        <v>53</v>
      </c>
      <c r="C26" s="21">
        <v>30.8</v>
      </c>
      <c r="E26" s="19"/>
      <c r="F26" s="5"/>
      <c r="H26" s="19"/>
      <c r="N26" s="39">
        <v>45407.0</v>
      </c>
      <c r="O26" s="40">
        <f t="shared" si="3"/>
        <v>63.27</v>
      </c>
      <c r="P26" s="5">
        <f t="shared" si="4"/>
        <v>1407.37</v>
      </c>
      <c r="Q26" s="5">
        <f t="shared" si="2"/>
        <v>56.2948</v>
      </c>
    </row>
    <row r="27">
      <c r="A27" s="39">
        <v>45396.0</v>
      </c>
      <c r="B27" s="4" t="s">
        <v>59</v>
      </c>
      <c r="C27" s="21">
        <f>10.55-2.6</f>
        <v>7.95</v>
      </c>
      <c r="E27" s="19"/>
      <c r="F27" s="5"/>
      <c r="H27" s="19"/>
      <c r="N27" s="39">
        <v>45408.0</v>
      </c>
      <c r="O27" s="40">
        <f t="shared" si="3"/>
        <v>60.74</v>
      </c>
      <c r="P27" s="5">
        <f t="shared" si="4"/>
        <v>1468.11</v>
      </c>
      <c r="Q27" s="5">
        <f t="shared" si="2"/>
        <v>56.46576923</v>
      </c>
    </row>
    <row r="28">
      <c r="A28" s="39">
        <v>45397.0</v>
      </c>
      <c r="B28" s="4" t="s">
        <v>57</v>
      </c>
      <c r="C28" s="21">
        <v>3.0</v>
      </c>
      <c r="E28" s="19"/>
      <c r="F28" s="5"/>
      <c r="H28" s="19"/>
      <c r="N28" s="39">
        <v>45409.0</v>
      </c>
      <c r="O28" s="40">
        <f t="shared" si="3"/>
        <v>60.625</v>
      </c>
      <c r="P28" s="5">
        <f t="shared" si="4"/>
        <v>1528.735</v>
      </c>
      <c r="Q28" s="5">
        <f t="shared" si="2"/>
        <v>56.61981481</v>
      </c>
    </row>
    <row r="29">
      <c r="A29" s="39">
        <v>45398.0</v>
      </c>
      <c r="B29" s="4" t="s">
        <v>364</v>
      </c>
      <c r="C29" s="21">
        <v>9.99</v>
      </c>
      <c r="E29" s="19"/>
      <c r="F29" s="5"/>
      <c r="H29" s="19"/>
      <c r="N29" s="39">
        <v>45410.0</v>
      </c>
      <c r="O29" s="40">
        <f t="shared" si="3"/>
        <v>33.41</v>
      </c>
      <c r="P29" s="5">
        <f t="shared" si="4"/>
        <v>1562.145</v>
      </c>
      <c r="Q29" s="5">
        <f t="shared" si="2"/>
        <v>55.79089286</v>
      </c>
    </row>
    <row r="30">
      <c r="A30" s="39">
        <v>45399.0</v>
      </c>
      <c r="B30" s="4" t="s">
        <v>365</v>
      </c>
      <c r="C30" s="21">
        <v>6.6</v>
      </c>
      <c r="E30" s="19"/>
      <c r="F30" s="5"/>
      <c r="H30" s="19"/>
      <c r="N30" s="39">
        <v>45411.0</v>
      </c>
      <c r="O30" s="40">
        <f t="shared" si="3"/>
        <v>8.8</v>
      </c>
      <c r="P30" s="5">
        <f t="shared" si="4"/>
        <v>1570.945</v>
      </c>
      <c r="Q30" s="5">
        <f t="shared" si="2"/>
        <v>54.17051724</v>
      </c>
    </row>
    <row r="31">
      <c r="A31" s="39">
        <v>45400.0</v>
      </c>
      <c r="B31" s="4" t="s">
        <v>366</v>
      </c>
      <c r="C31" s="21">
        <v>40.0</v>
      </c>
      <c r="E31" s="19"/>
      <c r="F31" s="5"/>
      <c r="H31" s="19"/>
      <c r="N31" s="39">
        <v>45412.0</v>
      </c>
      <c r="O31" s="40">
        <f t="shared" si="3"/>
        <v>0</v>
      </c>
      <c r="P31" s="5">
        <f t="shared" si="4"/>
        <v>1570.945</v>
      </c>
      <c r="Q31" s="5">
        <f t="shared" si="2"/>
        <v>52.36483333</v>
      </c>
    </row>
    <row r="32">
      <c r="A32" s="39">
        <v>45400.0</v>
      </c>
      <c r="B32" s="4" t="s">
        <v>230</v>
      </c>
      <c r="C32" s="21">
        <v>9.92</v>
      </c>
      <c r="E32" s="19"/>
      <c r="F32" s="5"/>
      <c r="H32" s="19"/>
      <c r="N32" s="39"/>
      <c r="Q32" s="5"/>
    </row>
    <row r="33">
      <c r="A33" s="39">
        <v>45400.0</v>
      </c>
      <c r="B33" s="4" t="s">
        <v>209</v>
      </c>
      <c r="C33" s="21">
        <v>5.49</v>
      </c>
      <c r="E33" s="19"/>
      <c r="F33" s="5"/>
      <c r="H33" s="19"/>
      <c r="N33" s="39"/>
      <c r="Q33" s="5"/>
    </row>
    <row r="34">
      <c r="A34" s="39">
        <v>45400.0</v>
      </c>
      <c r="B34" s="4" t="s">
        <v>367</v>
      </c>
      <c r="C34" s="4">
        <v>1.28</v>
      </c>
      <c r="E34" s="19"/>
      <c r="F34" s="5"/>
      <c r="H34" s="19"/>
      <c r="Q34" s="5"/>
    </row>
    <row r="35">
      <c r="A35" s="39">
        <v>45400.0</v>
      </c>
      <c r="B35" s="4" t="s">
        <v>127</v>
      </c>
      <c r="C35" s="21">
        <v>4.0</v>
      </c>
      <c r="E35" s="19"/>
      <c r="F35" s="5"/>
      <c r="H35" s="19"/>
      <c r="Q35" s="5"/>
    </row>
    <row r="36">
      <c r="A36" s="39">
        <v>45400.0</v>
      </c>
      <c r="B36" s="4" t="s">
        <v>47</v>
      </c>
      <c r="C36" s="21">
        <v>7.6</v>
      </c>
      <c r="E36" s="19"/>
      <c r="F36" s="5"/>
      <c r="H36" s="19"/>
      <c r="Q36" s="5"/>
    </row>
    <row r="37">
      <c r="A37" s="39">
        <v>45401.0</v>
      </c>
      <c r="B37" s="4" t="s">
        <v>62</v>
      </c>
      <c r="C37" s="21">
        <v>0.75</v>
      </c>
      <c r="E37" s="19"/>
      <c r="F37" s="5"/>
      <c r="H37" s="19"/>
      <c r="Q37" s="5"/>
    </row>
    <row r="38">
      <c r="A38" s="39">
        <v>45401.0</v>
      </c>
      <c r="B38" s="4" t="s">
        <v>76</v>
      </c>
      <c r="C38" s="21">
        <v>3.5</v>
      </c>
      <c r="E38" s="19"/>
      <c r="F38" s="5"/>
      <c r="H38" s="19"/>
      <c r="Q38" s="5"/>
    </row>
    <row r="39">
      <c r="A39" s="39">
        <v>45401.0</v>
      </c>
      <c r="B39" s="4" t="s">
        <v>45</v>
      </c>
      <c r="C39" s="21">
        <v>13.6</v>
      </c>
      <c r="E39" s="19"/>
      <c r="F39" s="5"/>
      <c r="H39" s="19"/>
      <c r="Q39" s="5"/>
    </row>
    <row r="40">
      <c r="A40" s="39">
        <v>45402.0</v>
      </c>
      <c r="B40" s="4" t="s">
        <v>210</v>
      </c>
      <c r="C40" s="21">
        <v>4.0</v>
      </c>
      <c r="E40" s="19"/>
      <c r="F40" s="5"/>
      <c r="H40" s="19"/>
      <c r="Q40" s="5"/>
    </row>
    <row r="41">
      <c r="A41" s="39">
        <v>45402.0</v>
      </c>
      <c r="B41" s="4" t="s">
        <v>127</v>
      </c>
      <c r="C41" s="21">
        <v>8.4</v>
      </c>
      <c r="E41" s="19"/>
      <c r="F41" s="5"/>
      <c r="H41" s="19"/>
      <c r="Q41" s="5"/>
    </row>
    <row r="42">
      <c r="A42" s="39">
        <v>45402.0</v>
      </c>
      <c r="B42" s="4" t="s">
        <v>47</v>
      </c>
      <c r="C42" s="21">
        <v>16.2</v>
      </c>
      <c r="E42" s="19"/>
      <c r="F42" s="5"/>
      <c r="H42" s="19"/>
      <c r="Q42" s="5"/>
    </row>
    <row r="43">
      <c r="A43" s="39">
        <v>45403.0</v>
      </c>
      <c r="B43" s="4" t="s">
        <v>64</v>
      </c>
      <c r="C43" s="21">
        <v>14.62</v>
      </c>
      <c r="E43" s="19"/>
      <c r="F43" s="5"/>
      <c r="H43" s="19"/>
      <c r="Q43" s="5"/>
    </row>
    <row r="44">
      <c r="A44" s="39">
        <v>45403.0</v>
      </c>
      <c r="B44" s="4" t="s">
        <v>45</v>
      </c>
      <c r="C44" s="21">
        <v>7.18</v>
      </c>
      <c r="E44" s="19"/>
      <c r="F44" s="5"/>
      <c r="H44" s="19"/>
      <c r="Q44" s="5"/>
    </row>
    <row r="45">
      <c r="A45" s="39">
        <v>45403.0</v>
      </c>
      <c r="B45" s="4" t="s">
        <v>76</v>
      </c>
      <c r="C45" s="21">
        <v>8.0</v>
      </c>
      <c r="E45" s="19"/>
      <c r="F45" s="5"/>
      <c r="H45" s="19"/>
      <c r="Q45" s="5"/>
    </row>
    <row r="46">
      <c r="A46" s="39">
        <v>45403.0</v>
      </c>
      <c r="B46" s="4" t="s">
        <v>52</v>
      </c>
      <c r="C46" s="21">
        <v>17.39</v>
      </c>
      <c r="E46" s="19"/>
      <c r="F46" s="5"/>
      <c r="H46" s="19"/>
      <c r="Q46" s="5"/>
    </row>
    <row r="47">
      <c r="A47" s="39">
        <v>45404.0</v>
      </c>
      <c r="B47" s="4" t="s">
        <v>127</v>
      </c>
      <c r="C47" s="21">
        <v>3.7</v>
      </c>
      <c r="E47" s="19"/>
      <c r="F47" s="5"/>
      <c r="H47" s="19"/>
      <c r="Q47" s="5"/>
    </row>
    <row r="48">
      <c r="A48" s="39">
        <v>45404.0</v>
      </c>
      <c r="B48" s="4" t="s">
        <v>368</v>
      </c>
      <c r="C48" s="21">
        <v>16.54</v>
      </c>
      <c r="E48" s="19"/>
      <c r="F48" s="5"/>
      <c r="H48" s="19"/>
      <c r="Q48" s="5"/>
    </row>
    <row r="49">
      <c r="A49" s="39">
        <v>45405.0</v>
      </c>
      <c r="B49" s="4" t="s">
        <v>47</v>
      </c>
      <c r="C49" s="21">
        <v>11.2</v>
      </c>
      <c r="E49" s="19"/>
      <c r="F49" s="5"/>
      <c r="H49" s="19"/>
      <c r="Q49" s="5"/>
    </row>
    <row r="50">
      <c r="A50" s="39">
        <v>45405.0</v>
      </c>
      <c r="B50" s="4" t="s">
        <v>360</v>
      </c>
      <c r="C50" s="21">
        <v>26.8</v>
      </c>
      <c r="E50" s="19"/>
      <c r="F50" s="5"/>
      <c r="H50" s="19"/>
      <c r="Q50" s="5"/>
    </row>
    <row r="51">
      <c r="A51" s="39">
        <v>45405.0</v>
      </c>
      <c r="B51" s="4" t="s">
        <v>64</v>
      </c>
      <c r="C51" s="21">
        <v>60.0</v>
      </c>
      <c r="E51" s="19"/>
      <c r="F51" s="5"/>
      <c r="H51" s="19"/>
      <c r="Q51" s="5"/>
    </row>
    <row r="52">
      <c r="A52" s="39">
        <v>45405.0</v>
      </c>
      <c r="B52" s="4" t="s">
        <v>210</v>
      </c>
      <c r="C52" s="21">
        <v>26.15</v>
      </c>
      <c r="E52" s="19"/>
      <c r="F52" s="5"/>
      <c r="H52" s="19"/>
      <c r="Q52" s="5"/>
    </row>
    <row r="53">
      <c r="A53" s="39">
        <v>45406.0</v>
      </c>
      <c r="B53" s="4" t="s">
        <v>76</v>
      </c>
      <c r="C53" s="21">
        <v>4.2</v>
      </c>
      <c r="E53" s="19"/>
      <c r="F53" s="5"/>
      <c r="H53" s="19"/>
      <c r="Q53" s="5"/>
    </row>
    <row r="54">
      <c r="A54" s="39">
        <v>45406.0</v>
      </c>
      <c r="B54" s="4" t="s">
        <v>127</v>
      </c>
      <c r="C54" s="21">
        <v>5.6</v>
      </c>
      <c r="E54" s="19"/>
      <c r="F54" s="5"/>
      <c r="H54" s="19"/>
      <c r="Q54" s="5"/>
    </row>
    <row r="55">
      <c r="A55" s="39">
        <v>45407.0</v>
      </c>
      <c r="B55" s="4" t="s">
        <v>253</v>
      </c>
      <c r="C55" s="21">
        <v>52.57</v>
      </c>
      <c r="E55" s="19"/>
      <c r="F55" s="5"/>
      <c r="H55" s="19"/>
      <c r="Q55" s="5"/>
    </row>
    <row r="56">
      <c r="A56" s="39">
        <v>45407.0</v>
      </c>
      <c r="B56" s="4" t="s">
        <v>127</v>
      </c>
      <c r="C56" s="21">
        <f>17.4-8.8+2.1</f>
        <v>10.7</v>
      </c>
      <c r="E56" s="19"/>
      <c r="F56" s="5"/>
      <c r="H56" s="19"/>
      <c r="Q56" s="5"/>
    </row>
    <row r="57">
      <c r="A57" s="39">
        <v>45408.0</v>
      </c>
      <c r="B57" s="4" t="s">
        <v>210</v>
      </c>
      <c r="C57" s="21">
        <v>15.0</v>
      </c>
      <c r="E57" s="19"/>
      <c r="F57" s="5"/>
      <c r="H57" s="19"/>
      <c r="Q57" s="5"/>
    </row>
    <row r="58">
      <c r="A58" s="39">
        <v>45408.0</v>
      </c>
      <c r="B58" s="4" t="s">
        <v>369</v>
      </c>
      <c r="C58" s="43">
        <v>9.99</v>
      </c>
      <c r="E58" s="19"/>
      <c r="F58" s="5"/>
      <c r="H58" s="19"/>
      <c r="Q58" s="5"/>
    </row>
    <row r="59">
      <c r="A59" s="39">
        <v>45408.0</v>
      </c>
      <c r="B59" s="4" t="s">
        <v>47</v>
      </c>
      <c r="C59" s="21">
        <v>6.85</v>
      </c>
      <c r="E59" s="19"/>
      <c r="F59" s="5"/>
      <c r="H59" s="19"/>
      <c r="Q59" s="5"/>
    </row>
    <row r="60">
      <c r="A60" s="39">
        <v>45408.0</v>
      </c>
      <c r="B60" s="4" t="s">
        <v>45</v>
      </c>
      <c r="C60" s="21">
        <v>14.45</v>
      </c>
      <c r="E60" s="19"/>
      <c r="F60" s="5"/>
      <c r="H60" s="19"/>
      <c r="Q60" s="5"/>
    </row>
    <row r="61">
      <c r="A61" s="39">
        <v>45408.0</v>
      </c>
      <c r="B61" s="4" t="s">
        <v>45</v>
      </c>
      <c r="C61" s="21">
        <v>14.45</v>
      </c>
      <c r="E61" s="19"/>
      <c r="F61" s="5"/>
      <c r="H61" s="19"/>
      <c r="Q61" s="5"/>
    </row>
    <row r="62">
      <c r="A62" s="39">
        <v>45409.0</v>
      </c>
      <c r="B62" s="4" t="s">
        <v>73</v>
      </c>
      <c r="C62" s="21">
        <v>4.5</v>
      </c>
      <c r="E62" s="19"/>
      <c r="F62" s="5"/>
      <c r="H62" s="19"/>
      <c r="Q62" s="5"/>
    </row>
    <row r="63">
      <c r="A63" s="39">
        <v>45409.0</v>
      </c>
      <c r="B63" s="4" t="s">
        <v>45</v>
      </c>
      <c r="C63" s="21">
        <v>7.25</v>
      </c>
      <c r="E63" s="19"/>
      <c r="F63" s="5"/>
      <c r="H63" s="19"/>
      <c r="Q63" s="5"/>
    </row>
    <row r="64">
      <c r="A64" s="39">
        <v>45409.0</v>
      </c>
      <c r="B64" s="4" t="s">
        <v>52</v>
      </c>
      <c r="C64" s="21">
        <v>6.08</v>
      </c>
      <c r="E64" s="19"/>
      <c r="F64" s="5"/>
      <c r="H64" s="19"/>
      <c r="Q64" s="5"/>
    </row>
    <row r="65">
      <c r="A65" s="39">
        <v>45409.0</v>
      </c>
      <c r="B65" s="4" t="s">
        <v>127</v>
      </c>
      <c r="C65" s="21">
        <v>5.6</v>
      </c>
      <c r="E65" s="19"/>
      <c r="F65" s="5"/>
      <c r="H65" s="19"/>
      <c r="Q65" s="5"/>
    </row>
    <row r="66">
      <c r="A66" s="39">
        <v>45409.0</v>
      </c>
      <c r="B66" s="4" t="s">
        <v>140</v>
      </c>
      <c r="C66" s="21">
        <f>33.99/2</f>
        <v>16.995</v>
      </c>
      <c r="E66" s="19"/>
      <c r="F66" s="5"/>
      <c r="H66" s="19"/>
      <c r="Q66" s="5"/>
    </row>
    <row r="67">
      <c r="A67" s="39">
        <v>45409.0</v>
      </c>
      <c r="B67" s="4" t="s">
        <v>45</v>
      </c>
      <c r="C67" s="21">
        <v>5.5</v>
      </c>
      <c r="E67" s="19"/>
      <c r="F67" s="5"/>
      <c r="H67" s="19"/>
      <c r="Q67" s="5"/>
    </row>
    <row r="68">
      <c r="A68" s="39">
        <v>45409.0</v>
      </c>
      <c r="B68" s="4" t="s">
        <v>47</v>
      </c>
      <c r="C68" s="21">
        <v>14.7</v>
      </c>
      <c r="E68" s="19"/>
      <c r="F68" s="5"/>
      <c r="H68" s="19"/>
      <c r="Q68" s="5"/>
    </row>
    <row r="69">
      <c r="A69" s="39">
        <v>45410.0</v>
      </c>
      <c r="B69" s="4" t="s">
        <v>73</v>
      </c>
      <c r="C69" s="21">
        <v>16.97</v>
      </c>
      <c r="E69" s="19"/>
      <c r="F69" s="5"/>
      <c r="H69" s="19"/>
      <c r="Q69" s="5"/>
    </row>
    <row r="70">
      <c r="A70" s="39">
        <v>45410.0</v>
      </c>
      <c r="B70" s="4" t="s">
        <v>340</v>
      </c>
      <c r="C70" s="21">
        <v>2.99</v>
      </c>
      <c r="E70" s="19"/>
      <c r="F70" s="5"/>
      <c r="H70" s="19"/>
      <c r="Q70" s="5"/>
    </row>
    <row r="71">
      <c r="A71" s="39">
        <v>45410.0</v>
      </c>
      <c r="B71" s="4" t="s">
        <v>47</v>
      </c>
      <c r="C71" s="21">
        <v>13.45</v>
      </c>
      <c r="E71" s="19"/>
      <c r="F71" s="5"/>
      <c r="H71" s="19"/>
      <c r="Q71" s="5"/>
    </row>
    <row r="72">
      <c r="A72" s="39">
        <v>45411.0</v>
      </c>
      <c r="B72" s="4" t="s">
        <v>119</v>
      </c>
      <c r="C72" s="21">
        <v>8.8</v>
      </c>
      <c r="E72" s="19"/>
      <c r="F72" s="5"/>
      <c r="H72" s="19"/>
      <c r="Q72" s="5"/>
    </row>
    <row r="73">
      <c r="A73" s="39"/>
      <c r="C73" s="21"/>
      <c r="E73" s="19"/>
      <c r="F73" s="5"/>
      <c r="H73" s="19"/>
      <c r="Q73" s="5"/>
    </row>
    <row r="74">
      <c r="A74" s="39"/>
      <c r="C74" s="21"/>
      <c r="E74" s="19"/>
      <c r="F74" s="5"/>
      <c r="H74" s="19"/>
      <c r="Q74" s="5"/>
    </row>
    <row r="75">
      <c r="A75" s="39"/>
      <c r="C75" s="21"/>
      <c r="E75" s="19"/>
      <c r="F75" s="5"/>
      <c r="H75" s="19"/>
      <c r="Q75" s="5"/>
    </row>
    <row r="76">
      <c r="A76" s="39"/>
      <c r="C76" s="21"/>
      <c r="E76" s="19"/>
      <c r="F76" s="5"/>
      <c r="H76" s="19"/>
      <c r="Q76" s="5"/>
    </row>
    <row r="77">
      <c r="A77" s="39"/>
      <c r="C77" s="21"/>
      <c r="E77" s="19"/>
      <c r="F77" s="5"/>
      <c r="H77" s="19"/>
      <c r="Q77" s="5"/>
    </row>
    <row r="78">
      <c r="A78" s="39"/>
      <c r="C78" s="21"/>
      <c r="E78" s="19"/>
      <c r="F78" s="5"/>
      <c r="H78" s="19"/>
      <c r="Q78" s="5"/>
    </row>
    <row r="79">
      <c r="A79" s="39"/>
      <c r="C79" s="21"/>
      <c r="E79" s="19"/>
      <c r="F79" s="5"/>
      <c r="H79" s="19"/>
      <c r="Q79" s="5"/>
    </row>
    <row r="80">
      <c r="A80" s="39"/>
      <c r="E80" s="19"/>
      <c r="F80" s="5"/>
      <c r="H80" s="19"/>
      <c r="Q80" s="5"/>
    </row>
    <row r="81">
      <c r="A81" s="39"/>
      <c r="C81" s="21"/>
      <c r="E81" s="19"/>
      <c r="F81" s="5"/>
      <c r="H81" s="19"/>
      <c r="Q81" s="5"/>
    </row>
    <row r="82">
      <c r="A82" s="39"/>
      <c r="C82" s="21"/>
      <c r="E82" s="19"/>
      <c r="F82" s="5"/>
      <c r="H82" s="19"/>
      <c r="Q82" s="5"/>
    </row>
    <row r="83">
      <c r="A83" s="39"/>
      <c r="C83" s="21"/>
      <c r="E83" s="19"/>
      <c r="F83" s="5"/>
      <c r="H83" s="19"/>
      <c r="Q83" s="5"/>
    </row>
    <row r="84">
      <c r="A84" s="39"/>
      <c r="C84" s="21"/>
      <c r="E84" s="19"/>
      <c r="F84" s="5"/>
      <c r="H84" s="19"/>
      <c r="Q84" s="5"/>
    </row>
    <row r="85">
      <c r="A85" s="39"/>
      <c r="C85" s="21"/>
      <c r="E85" s="19"/>
      <c r="F85" s="5"/>
      <c r="H85" s="19"/>
      <c r="Q85" s="5"/>
    </row>
    <row r="86">
      <c r="A86" s="39"/>
      <c r="C86" s="21"/>
      <c r="E86" s="19"/>
      <c r="F86" s="5"/>
      <c r="H86" s="19"/>
      <c r="Q86" s="5"/>
    </row>
    <row r="87">
      <c r="A87" s="39"/>
      <c r="C87" s="21"/>
      <c r="E87" s="19"/>
      <c r="F87" s="5"/>
      <c r="H87" s="19"/>
      <c r="Q87" s="5"/>
    </row>
    <row r="88">
      <c r="A88" s="39"/>
      <c r="C88" s="21"/>
      <c r="E88" s="19"/>
      <c r="F88" s="5"/>
      <c r="H88" s="19"/>
      <c r="Q88" s="5"/>
    </row>
    <row r="89">
      <c r="A89" s="39"/>
      <c r="C89" s="21"/>
      <c r="E89" s="19"/>
      <c r="F89" s="5"/>
      <c r="H89" s="19"/>
      <c r="Q89" s="5"/>
    </row>
    <row r="90">
      <c r="A90" s="39"/>
      <c r="C90" s="21"/>
      <c r="E90" s="19"/>
      <c r="F90" s="5"/>
      <c r="H90" s="19"/>
      <c r="Q90" s="5"/>
    </row>
    <row r="91">
      <c r="A91" s="39"/>
      <c r="C91" s="21"/>
      <c r="E91" s="19"/>
      <c r="F91" s="5"/>
      <c r="H91" s="19"/>
      <c r="Q91" s="5"/>
    </row>
    <row r="92">
      <c r="A92" s="39"/>
      <c r="C92" s="21"/>
      <c r="E92" s="19"/>
      <c r="F92" s="5"/>
      <c r="H92" s="19"/>
      <c r="Q92" s="5"/>
    </row>
    <row r="93">
      <c r="A93" s="39"/>
      <c r="C93" s="21"/>
      <c r="E93" s="19"/>
      <c r="F93" s="5"/>
      <c r="H93" s="19"/>
      <c r="Q93" s="5"/>
    </row>
    <row r="94">
      <c r="A94" s="39"/>
      <c r="C94" s="21"/>
      <c r="E94" s="19"/>
      <c r="F94" s="5"/>
      <c r="H94" s="19"/>
      <c r="Q94" s="5"/>
    </row>
    <row r="95">
      <c r="A95" s="39"/>
      <c r="C95" s="21"/>
      <c r="E95" s="19"/>
      <c r="F95" s="5"/>
      <c r="H95" s="19"/>
      <c r="Q95" s="5"/>
    </row>
    <row r="96">
      <c r="A96" s="39"/>
      <c r="C96" s="21"/>
      <c r="E96" s="19"/>
      <c r="F96" s="5"/>
      <c r="H96" s="19"/>
      <c r="Q96" s="5"/>
    </row>
    <row r="97">
      <c r="A97" s="39"/>
      <c r="C97" s="21"/>
      <c r="E97" s="19"/>
      <c r="F97" s="5"/>
      <c r="H97" s="19"/>
      <c r="Q97" s="5"/>
    </row>
    <row r="98">
      <c r="A98" s="39"/>
      <c r="C98" s="21"/>
      <c r="E98" s="19"/>
      <c r="F98" s="5"/>
      <c r="H98" s="19"/>
      <c r="Q98" s="5"/>
    </row>
    <row r="99">
      <c r="A99" s="39"/>
      <c r="C99" s="21"/>
      <c r="E99" s="19"/>
      <c r="F99" s="5"/>
      <c r="H99" s="19"/>
      <c r="Q99" s="5"/>
    </row>
    <row r="100">
      <c r="A100" s="39"/>
      <c r="C100" s="21"/>
      <c r="E100" s="19"/>
      <c r="F100" s="5"/>
      <c r="H100" s="19"/>
      <c r="Q100" s="5"/>
    </row>
    <row r="101">
      <c r="A101" s="44"/>
      <c r="C101" s="5"/>
      <c r="E101" s="19"/>
      <c r="F101" s="5"/>
      <c r="H101" s="19"/>
      <c r="Q101" s="5"/>
    </row>
    <row r="102">
      <c r="A102" s="44"/>
      <c r="C102" s="5"/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44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O1:O1000 Q1:Q1000">
    <cfRule type="cellIs" dxfId="0" priority="1" operator="lessThan">
      <formula>20</formula>
    </cfRule>
  </conditionalFormatting>
  <conditionalFormatting sqref="O1:O1000 Q1:Q1000">
    <cfRule type="cellIs" dxfId="6" priority="2" operator="lessThan">
      <formula>30</formula>
    </cfRule>
  </conditionalFormatting>
  <conditionalFormatting sqref="O1:O1000 Q1:Q1000">
    <cfRule type="cellIs" dxfId="1" priority="3" operator="greaterThanOrEqual">
      <formula>30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1">
    <cfRule type="cellIs" dxfId="3" priority="6" operator="greaterThan">
      <formula>0</formula>
    </cfRule>
  </conditionalFormatting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120.2</v>
      </c>
      <c r="H1" s="1" t="s">
        <v>46</v>
      </c>
      <c r="I1" s="5">
        <f>I6-I7</f>
        <v>61.97</v>
      </c>
      <c r="J1" s="19"/>
      <c r="K1" s="1" t="s">
        <v>47</v>
      </c>
      <c r="L1" s="5">
        <f t="shared" ref="L1:L4" si="1">SUMIF(B:B,K1,C:I)</f>
        <v>161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51"/>
      <c r="S1" s="19"/>
      <c r="T1" s="19"/>
      <c r="U1" s="19"/>
      <c r="V1" s="19"/>
      <c r="W1" s="19"/>
      <c r="X1" s="19"/>
      <c r="Y1" s="19"/>
      <c r="Z1" s="19"/>
    </row>
    <row r="2">
      <c r="A2" s="39">
        <v>45352.0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7.81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0</v>
      </c>
      <c r="N2" s="39">
        <v>45352.0</v>
      </c>
      <c r="O2" s="5">
        <f>sumif(A:A,N2,C:C)-sum(C2:C5)</f>
        <v>46.15</v>
      </c>
      <c r="P2" s="5">
        <f>SUM(O2)</f>
        <v>46.15</v>
      </c>
      <c r="Q2" s="5">
        <f t="shared" ref="Q2:Q32" si="2">P2/(ROW()-1)</f>
        <v>46.15</v>
      </c>
    </row>
    <row r="3">
      <c r="A3" s="39">
        <v>45352.0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13.89</v>
      </c>
      <c r="H3" s="1" t="s">
        <v>8</v>
      </c>
      <c r="I3" s="5">
        <f>SUMIF(B:B,H3,C:C)+I1</f>
        <v>311.97</v>
      </c>
      <c r="K3" s="1" t="s">
        <v>56</v>
      </c>
      <c r="L3" s="5">
        <f t="shared" si="1"/>
        <v>0</v>
      </c>
      <c r="N3" s="39">
        <v>45353.0</v>
      </c>
      <c r="O3" s="40">
        <f t="shared" ref="O3:O32" si="3">sumif(A:A,N3,C:C)</f>
        <v>79.19</v>
      </c>
      <c r="P3" s="5">
        <f t="shared" ref="P3:P32" si="4">P2+O3</f>
        <v>125.34</v>
      </c>
      <c r="Q3" s="5">
        <f t="shared" si="2"/>
        <v>62.67</v>
      </c>
    </row>
    <row r="4">
      <c r="A4" s="39">
        <v>45352.0</v>
      </c>
      <c r="B4" s="4" t="s">
        <v>6</v>
      </c>
      <c r="C4" s="21">
        <v>250.0</v>
      </c>
      <c r="E4" s="1" t="s">
        <v>140</v>
      </c>
      <c r="F4" s="5">
        <f t="shared" ref="F4:F5" si="5">SUMIF(B:B,E4,C:C)</f>
        <v>68.65</v>
      </c>
      <c r="H4" s="1" t="s">
        <v>58</v>
      </c>
      <c r="I4" s="5">
        <f>I2+I3</f>
        <v>561.97</v>
      </c>
      <c r="K4" s="1" t="s">
        <v>59</v>
      </c>
      <c r="L4" s="5">
        <f t="shared" si="1"/>
        <v>30.01</v>
      </c>
      <c r="N4" s="39">
        <v>45354.0</v>
      </c>
      <c r="O4" s="40">
        <f t="shared" si="3"/>
        <v>15.09</v>
      </c>
      <c r="P4" s="5">
        <f t="shared" si="4"/>
        <v>140.43</v>
      </c>
      <c r="Q4" s="5">
        <f t="shared" si="2"/>
        <v>46.81</v>
      </c>
    </row>
    <row r="5">
      <c r="A5" s="39">
        <v>45352.0</v>
      </c>
      <c r="B5" s="4" t="s">
        <v>252</v>
      </c>
      <c r="C5" s="21">
        <v>40.81</v>
      </c>
      <c r="E5" s="1" t="s">
        <v>210</v>
      </c>
      <c r="F5" s="5">
        <f t="shared" si="5"/>
        <v>95.72</v>
      </c>
      <c r="N5" s="39">
        <v>45355.0</v>
      </c>
      <c r="O5" s="40">
        <f t="shared" si="3"/>
        <v>158.82</v>
      </c>
      <c r="P5" s="5">
        <f t="shared" si="4"/>
        <v>299.25</v>
      </c>
      <c r="Q5" s="5">
        <f t="shared" si="2"/>
        <v>74.8125</v>
      </c>
    </row>
    <row r="6">
      <c r="A6" s="39">
        <v>45352.0</v>
      </c>
      <c r="B6" s="4" t="s">
        <v>140</v>
      </c>
      <c r="C6" s="21">
        <v>7.0</v>
      </c>
      <c r="E6" s="1" t="s">
        <v>57</v>
      </c>
      <c r="F6" s="5">
        <f>sum(L:L)+sumif(B:B,"Groceries",C:C)</f>
        <v>229.46</v>
      </c>
      <c r="H6" s="1" t="s">
        <v>65</v>
      </c>
      <c r="I6" s="49">
        <v>2862.4</v>
      </c>
      <c r="N6" s="39">
        <v>45356.0</v>
      </c>
      <c r="O6" s="40">
        <f t="shared" si="3"/>
        <v>8.7</v>
      </c>
      <c r="P6" s="5">
        <f t="shared" si="4"/>
        <v>307.95</v>
      </c>
      <c r="Q6" s="5">
        <f t="shared" si="2"/>
        <v>61.59</v>
      </c>
    </row>
    <row r="7">
      <c r="A7" s="39">
        <v>45352.0</v>
      </c>
      <c r="B7" s="4" t="s">
        <v>127</v>
      </c>
      <c r="C7" s="21">
        <v>6.8</v>
      </c>
      <c r="E7" s="42" t="s">
        <v>61</v>
      </c>
      <c r="F7" s="5">
        <f>SUMIF(B:B,"Games",C:C)+SUMIF(B:B,"Spotify",C:C)+SUMIF(B:B,"Disney+",C:C)+SUMIF(B:B,"Book",C:C)+SUMIF(B:B,"Audible",C:C)+SUMIF(B:B,"Cinema",C:C)+SUMIF(B:B,"Theatre",C:C)</f>
        <v>29.03</v>
      </c>
      <c r="H7" s="1" t="s">
        <v>68</v>
      </c>
      <c r="I7" s="5">
        <f>sum(C:C)</f>
        <v>2800.43</v>
      </c>
      <c r="N7" s="39">
        <v>45357.0</v>
      </c>
      <c r="O7" s="40">
        <f t="shared" si="3"/>
        <v>52.85</v>
      </c>
      <c r="P7" s="5">
        <f t="shared" si="4"/>
        <v>360.8</v>
      </c>
      <c r="Q7" s="5">
        <f t="shared" si="2"/>
        <v>60.13333333</v>
      </c>
    </row>
    <row r="8">
      <c r="A8" s="39">
        <v>45352.0</v>
      </c>
      <c r="B8" s="4" t="s">
        <v>45</v>
      </c>
      <c r="C8" s="21">
        <v>18.6</v>
      </c>
      <c r="E8" s="1" t="s">
        <v>64</v>
      </c>
      <c r="F8" s="5">
        <f>SUMIF(B:B,E8,C:C)+SUMIF(B:B,"Shoes",C:C)</f>
        <v>80.99</v>
      </c>
      <c r="H8" s="1" t="s">
        <v>72</v>
      </c>
      <c r="I8" s="5">
        <f>sum(F:F)+I2+C2</f>
        <v>2482.69</v>
      </c>
      <c r="N8" s="39">
        <v>45358.0</v>
      </c>
      <c r="O8" s="40">
        <f t="shared" si="3"/>
        <v>14</v>
      </c>
      <c r="P8" s="5">
        <f t="shared" si="4"/>
        <v>374.8</v>
      </c>
      <c r="Q8" s="5">
        <f t="shared" si="2"/>
        <v>53.54285714</v>
      </c>
    </row>
    <row r="9">
      <c r="A9" s="39">
        <v>45352.0</v>
      </c>
      <c r="B9" s="4" t="s">
        <v>45</v>
      </c>
      <c r="C9" s="21">
        <v>8.25</v>
      </c>
      <c r="E9" s="1" t="s">
        <v>54</v>
      </c>
      <c r="F9" s="5">
        <f>SUMIF(B:B,E9,C:C)+SUMIF(B:B,"Phone",C:C)</f>
        <v>1145.81</v>
      </c>
      <c r="H9" s="1" t="s">
        <v>74</v>
      </c>
      <c r="I9" s="5">
        <f>I7-I8</f>
        <v>317.74</v>
      </c>
      <c r="N9" s="39">
        <v>45359.0</v>
      </c>
      <c r="O9" s="40">
        <f t="shared" si="3"/>
        <v>11.65</v>
      </c>
      <c r="P9" s="5">
        <f t="shared" si="4"/>
        <v>386.45</v>
      </c>
      <c r="Q9" s="5">
        <f t="shared" si="2"/>
        <v>48.30625</v>
      </c>
    </row>
    <row r="10">
      <c r="A10" s="39">
        <v>45352.0</v>
      </c>
      <c r="B10" s="4" t="s">
        <v>57</v>
      </c>
      <c r="C10" s="21">
        <v>5.5</v>
      </c>
      <c r="E10" s="1" t="s">
        <v>127</v>
      </c>
      <c r="F10" s="5">
        <f>SUMIF(B:B,E10,C:C)</f>
        <v>52.3</v>
      </c>
      <c r="N10" s="39">
        <v>45360.0</v>
      </c>
      <c r="O10" s="40">
        <f t="shared" si="3"/>
        <v>47.11</v>
      </c>
      <c r="P10" s="5">
        <f t="shared" si="4"/>
        <v>433.56</v>
      </c>
      <c r="Q10" s="5">
        <f t="shared" si="2"/>
        <v>48.17333333</v>
      </c>
    </row>
    <row r="11">
      <c r="A11" s="39">
        <v>45353.0</v>
      </c>
      <c r="B11" s="4" t="s">
        <v>127</v>
      </c>
      <c r="C11" s="21">
        <v>1.8</v>
      </c>
      <c r="E11" s="1" t="s">
        <v>164</v>
      </c>
      <c r="F11" s="48">
        <f>SUMIF(B:B,"Cigs",C:C) + SUMIF(B:B,"Snus",C:C)</f>
        <v>34.47</v>
      </c>
      <c r="H11" s="1" t="s">
        <v>3</v>
      </c>
      <c r="I11" s="28">
        <f>I4/I6</f>
        <v>0.196328256</v>
      </c>
      <c r="N11" s="39">
        <v>45361.0</v>
      </c>
      <c r="O11" s="40">
        <f t="shared" si="3"/>
        <v>16.11</v>
      </c>
      <c r="P11" s="5">
        <f t="shared" si="4"/>
        <v>449.67</v>
      </c>
      <c r="Q11" s="5">
        <f t="shared" si="2"/>
        <v>44.967</v>
      </c>
    </row>
    <row r="12">
      <c r="A12" s="39">
        <v>45353.0</v>
      </c>
      <c r="B12" s="4" t="s">
        <v>127</v>
      </c>
      <c r="C12" s="21">
        <v>2.8</v>
      </c>
      <c r="E12" s="1" t="s">
        <v>73</v>
      </c>
      <c r="F12" s="5">
        <f>SUMIF(B:B,"Uber",C:C)</f>
        <v>46.35</v>
      </c>
      <c r="N12" s="39">
        <v>45362.0</v>
      </c>
      <c r="O12" s="40">
        <f t="shared" si="3"/>
        <v>20.95</v>
      </c>
      <c r="P12" s="5">
        <f t="shared" si="4"/>
        <v>470.62</v>
      </c>
      <c r="Q12" s="5">
        <f t="shared" si="2"/>
        <v>42.78363636</v>
      </c>
    </row>
    <row r="13">
      <c r="A13" s="39">
        <v>45353.0</v>
      </c>
      <c r="B13" s="4" t="s">
        <v>127</v>
      </c>
      <c r="C13" s="4">
        <v>2.0</v>
      </c>
      <c r="E13" s="1" t="s">
        <v>75</v>
      </c>
      <c r="F13" s="40">
        <f>SUMIF(B:B,"Gym",C:C)+SUMIF(B:B,"Climbing",C:C)</f>
        <v>43.06</v>
      </c>
      <c r="N13" s="39">
        <v>45363.0</v>
      </c>
      <c r="O13" s="40">
        <f t="shared" si="3"/>
        <v>0</v>
      </c>
      <c r="P13" s="5">
        <f t="shared" si="4"/>
        <v>470.62</v>
      </c>
      <c r="Q13" s="5">
        <f t="shared" si="2"/>
        <v>39.21833333</v>
      </c>
    </row>
    <row r="14">
      <c r="A14" s="39">
        <v>45353.0</v>
      </c>
      <c r="B14" s="4" t="s">
        <v>140</v>
      </c>
      <c r="C14" s="21">
        <v>25.95</v>
      </c>
      <c r="E14" s="1" t="s">
        <v>76</v>
      </c>
      <c r="F14" s="5">
        <f>SUMIF(B:B,"Coffee",C:C)</f>
        <v>14.95</v>
      </c>
      <c r="H14" s="19"/>
      <c r="N14" s="39">
        <v>45364.0</v>
      </c>
      <c r="O14" s="40">
        <f t="shared" si="3"/>
        <v>116.83</v>
      </c>
      <c r="P14" s="5">
        <f t="shared" si="4"/>
        <v>587.45</v>
      </c>
      <c r="Q14" s="5">
        <f t="shared" si="2"/>
        <v>45.18846154</v>
      </c>
    </row>
    <row r="15">
      <c r="A15" s="39">
        <v>45353.0</v>
      </c>
      <c r="B15" s="4" t="s">
        <v>370</v>
      </c>
      <c r="C15" s="21">
        <v>14.75</v>
      </c>
      <c r="E15" s="1"/>
      <c r="H15" s="19"/>
      <c r="N15" s="39">
        <v>45365.0</v>
      </c>
      <c r="O15" s="40">
        <f t="shared" si="3"/>
        <v>35.92</v>
      </c>
      <c r="P15" s="5">
        <f t="shared" si="4"/>
        <v>623.37</v>
      </c>
      <c r="Q15" s="5">
        <f t="shared" si="2"/>
        <v>44.52642857</v>
      </c>
    </row>
    <row r="16">
      <c r="A16" s="39">
        <v>45353.0</v>
      </c>
      <c r="B16" s="4" t="s">
        <v>210</v>
      </c>
      <c r="C16" s="21">
        <v>8.02</v>
      </c>
      <c r="E16" s="1"/>
      <c r="H16" s="19"/>
      <c r="N16" s="39">
        <v>45366.0</v>
      </c>
      <c r="O16" s="40">
        <f t="shared" si="3"/>
        <v>41.83</v>
      </c>
      <c r="P16" s="5">
        <f t="shared" si="4"/>
        <v>665.2</v>
      </c>
      <c r="Q16" s="5">
        <f t="shared" si="2"/>
        <v>44.34666667</v>
      </c>
    </row>
    <row r="17">
      <c r="A17" s="39">
        <v>45353.0</v>
      </c>
      <c r="B17" s="4" t="s">
        <v>73</v>
      </c>
      <c r="C17" s="21">
        <v>11.9</v>
      </c>
      <c r="H17" s="19"/>
      <c r="N17" s="39">
        <v>45367.0</v>
      </c>
      <c r="O17" s="40">
        <f t="shared" si="3"/>
        <v>7.99</v>
      </c>
      <c r="P17" s="5">
        <f t="shared" si="4"/>
        <v>673.19</v>
      </c>
      <c r="Q17" s="5">
        <f t="shared" si="2"/>
        <v>42.074375</v>
      </c>
    </row>
    <row r="18">
      <c r="A18" s="39">
        <v>45353.0</v>
      </c>
      <c r="B18" s="4" t="s">
        <v>73</v>
      </c>
      <c r="C18" s="21">
        <v>11.97</v>
      </c>
      <c r="H18" s="19"/>
      <c r="N18" s="39">
        <v>45368.0</v>
      </c>
      <c r="O18" s="40">
        <f t="shared" si="3"/>
        <v>10.4</v>
      </c>
      <c r="P18" s="5">
        <f t="shared" si="4"/>
        <v>683.59</v>
      </c>
      <c r="Q18" s="5">
        <f t="shared" si="2"/>
        <v>40.21117647</v>
      </c>
    </row>
    <row r="19">
      <c r="A19" s="39">
        <v>45354.0</v>
      </c>
      <c r="B19" s="4" t="s">
        <v>73</v>
      </c>
      <c r="C19" s="21">
        <v>9.99</v>
      </c>
      <c r="H19" s="19"/>
      <c r="N19" s="39">
        <v>45369.0</v>
      </c>
      <c r="O19" s="40">
        <f t="shared" si="3"/>
        <v>4.3</v>
      </c>
      <c r="P19" s="5">
        <f t="shared" si="4"/>
        <v>687.89</v>
      </c>
      <c r="Q19" s="5">
        <f t="shared" si="2"/>
        <v>38.21611111</v>
      </c>
    </row>
    <row r="20">
      <c r="A20" s="39">
        <v>45354.0</v>
      </c>
      <c r="B20" s="4" t="s">
        <v>47</v>
      </c>
      <c r="C20" s="21">
        <f>2.95+2.15</f>
        <v>5.1</v>
      </c>
      <c r="H20" s="19"/>
      <c r="N20" s="39">
        <v>45370.0</v>
      </c>
      <c r="O20" s="40">
        <f t="shared" si="3"/>
        <v>42.22</v>
      </c>
      <c r="P20" s="5">
        <f t="shared" si="4"/>
        <v>730.11</v>
      </c>
      <c r="Q20" s="5">
        <f t="shared" si="2"/>
        <v>38.42684211</v>
      </c>
    </row>
    <row r="21">
      <c r="A21" s="39">
        <v>45355.0</v>
      </c>
      <c r="B21" s="4" t="s">
        <v>259</v>
      </c>
      <c r="C21" s="21">
        <v>99.98</v>
      </c>
      <c r="E21" s="19"/>
      <c r="F21" s="5"/>
      <c r="H21" s="19"/>
      <c r="N21" s="39">
        <v>45371.0</v>
      </c>
      <c r="O21" s="40">
        <f t="shared" si="3"/>
        <v>21.57</v>
      </c>
      <c r="P21" s="5">
        <f t="shared" si="4"/>
        <v>751.68</v>
      </c>
      <c r="Q21" s="5">
        <f t="shared" si="2"/>
        <v>37.584</v>
      </c>
    </row>
    <row r="22">
      <c r="A22" s="39">
        <v>45355.0</v>
      </c>
      <c r="B22" s="4" t="s">
        <v>57</v>
      </c>
      <c r="C22" s="21">
        <v>23.4</v>
      </c>
      <c r="E22" s="19"/>
      <c r="F22" s="5"/>
      <c r="H22" s="19"/>
      <c r="N22" s="39">
        <v>45372.0</v>
      </c>
      <c r="O22" s="40">
        <f t="shared" si="3"/>
        <v>104.48</v>
      </c>
      <c r="P22" s="5">
        <f t="shared" si="4"/>
        <v>856.16</v>
      </c>
      <c r="Q22" s="5">
        <f t="shared" si="2"/>
        <v>40.76952381</v>
      </c>
    </row>
    <row r="23">
      <c r="A23" s="39">
        <v>45355.0</v>
      </c>
      <c r="B23" s="4" t="s">
        <v>47</v>
      </c>
      <c r="C23" s="21">
        <v>30.34</v>
      </c>
      <c r="E23" s="19"/>
      <c r="F23" s="5"/>
      <c r="H23" s="19"/>
      <c r="N23" s="39">
        <v>45373.0</v>
      </c>
      <c r="O23" s="40">
        <f t="shared" si="3"/>
        <v>55.7</v>
      </c>
      <c r="P23" s="5">
        <f t="shared" si="4"/>
        <v>911.86</v>
      </c>
      <c r="Q23" s="5">
        <f t="shared" si="2"/>
        <v>41.44818182</v>
      </c>
    </row>
    <row r="24">
      <c r="A24" s="39">
        <v>45355.0</v>
      </c>
      <c r="B24" s="4" t="s">
        <v>127</v>
      </c>
      <c r="C24" s="21">
        <v>2.8</v>
      </c>
      <c r="E24" s="19"/>
      <c r="F24" s="5"/>
      <c r="H24" s="19"/>
      <c r="N24" s="39">
        <v>45374.0</v>
      </c>
      <c r="O24" s="40">
        <f t="shared" si="3"/>
        <v>8.73</v>
      </c>
      <c r="P24" s="5">
        <f t="shared" si="4"/>
        <v>920.59</v>
      </c>
      <c r="Q24" s="5">
        <f t="shared" si="2"/>
        <v>40.02565217</v>
      </c>
    </row>
    <row r="25">
      <c r="A25" s="39">
        <v>45355.0</v>
      </c>
      <c r="B25" s="4" t="s">
        <v>57</v>
      </c>
      <c r="C25" s="4">
        <v>2.3</v>
      </c>
      <c r="E25" s="19"/>
      <c r="F25" s="5"/>
      <c r="H25" s="19"/>
      <c r="N25" s="39">
        <v>45375.0</v>
      </c>
      <c r="O25" s="40">
        <f t="shared" si="3"/>
        <v>26.15</v>
      </c>
      <c r="P25" s="5">
        <f t="shared" si="4"/>
        <v>946.74</v>
      </c>
      <c r="Q25" s="5">
        <f t="shared" si="2"/>
        <v>39.4475</v>
      </c>
    </row>
    <row r="26">
      <c r="A26" s="39">
        <v>45356.0</v>
      </c>
      <c r="B26" s="4" t="s">
        <v>47</v>
      </c>
      <c r="C26" s="21">
        <v>8.7</v>
      </c>
      <c r="E26" s="19"/>
      <c r="F26" s="5"/>
      <c r="H26" s="19"/>
      <c r="N26" s="39">
        <v>45376.0</v>
      </c>
      <c r="O26" s="40">
        <f t="shared" si="3"/>
        <v>46.75</v>
      </c>
      <c r="P26" s="5">
        <f t="shared" si="4"/>
        <v>993.49</v>
      </c>
      <c r="Q26" s="5">
        <f t="shared" si="2"/>
        <v>39.7396</v>
      </c>
    </row>
    <row r="27">
      <c r="A27" s="39">
        <v>45357.0</v>
      </c>
      <c r="B27" s="4" t="s">
        <v>210</v>
      </c>
      <c r="C27" s="21">
        <v>28.0</v>
      </c>
      <c r="E27" s="19"/>
      <c r="F27" s="5"/>
      <c r="H27" s="19"/>
      <c r="N27" s="39">
        <v>45377.0</v>
      </c>
      <c r="O27" s="40">
        <f t="shared" si="3"/>
        <v>36.35</v>
      </c>
      <c r="P27" s="5">
        <f t="shared" si="4"/>
        <v>1029.84</v>
      </c>
      <c r="Q27" s="5">
        <f t="shared" si="2"/>
        <v>39.60923077</v>
      </c>
    </row>
    <row r="28">
      <c r="A28" s="39">
        <v>45357.0</v>
      </c>
      <c r="B28" s="4" t="s">
        <v>45</v>
      </c>
      <c r="C28" s="21">
        <v>18.0</v>
      </c>
      <c r="E28" s="19"/>
      <c r="F28" s="5"/>
      <c r="H28" s="19"/>
      <c r="N28" s="39">
        <v>45378.0</v>
      </c>
      <c r="O28" s="40">
        <f t="shared" si="3"/>
        <v>11.24</v>
      </c>
      <c r="P28" s="5">
        <f t="shared" si="4"/>
        <v>1041.08</v>
      </c>
      <c r="Q28" s="5">
        <f t="shared" si="2"/>
        <v>38.55851852</v>
      </c>
    </row>
    <row r="29">
      <c r="A29" s="39">
        <v>45357.0</v>
      </c>
      <c r="B29" s="4" t="s">
        <v>47</v>
      </c>
      <c r="C29" s="21">
        <v>6.85</v>
      </c>
      <c r="E29" s="19"/>
      <c r="F29" s="5"/>
      <c r="H29" s="19"/>
      <c r="N29" s="39">
        <v>45379.0</v>
      </c>
      <c r="O29" s="40">
        <f t="shared" si="3"/>
        <v>24.51</v>
      </c>
      <c r="P29" s="5">
        <f t="shared" si="4"/>
        <v>1065.59</v>
      </c>
      <c r="Q29" s="5">
        <f t="shared" si="2"/>
        <v>38.05678571</v>
      </c>
    </row>
    <row r="30">
      <c r="A30" s="39">
        <v>45358.0</v>
      </c>
      <c r="B30" s="4" t="s">
        <v>260</v>
      </c>
      <c r="C30" s="21">
        <v>5.0</v>
      </c>
      <c r="E30" s="19"/>
      <c r="F30" s="5"/>
      <c r="H30" s="19"/>
      <c r="N30" s="39">
        <v>45380.0</v>
      </c>
      <c r="O30" s="40">
        <f t="shared" si="3"/>
        <v>26.62</v>
      </c>
      <c r="P30" s="5">
        <f t="shared" si="4"/>
        <v>1092.21</v>
      </c>
      <c r="Q30" s="5">
        <f t="shared" si="2"/>
        <v>37.66241379</v>
      </c>
    </row>
    <row r="31">
      <c r="A31" s="39">
        <v>45358.0</v>
      </c>
      <c r="B31" s="4" t="s">
        <v>47</v>
      </c>
      <c r="C31" s="21">
        <v>9.0</v>
      </c>
      <c r="E31" s="19"/>
      <c r="F31" s="5"/>
      <c r="H31" s="19"/>
      <c r="N31" s="39">
        <v>45381.0</v>
      </c>
      <c r="O31" s="40">
        <f t="shared" si="3"/>
        <v>47.75</v>
      </c>
      <c r="P31" s="5">
        <f t="shared" si="4"/>
        <v>1139.96</v>
      </c>
      <c r="Q31" s="5">
        <f t="shared" si="2"/>
        <v>37.99866667</v>
      </c>
    </row>
    <row r="32">
      <c r="A32" s="39">
        <v>45359.0</v>
      </c>
      <c r="B32" s="4" t="s">
        <v>140</v>
      </c>
      <c r="C32" s="21">
        <v>9.0</v>
      </c>
      <c r="E32" s="19"/>
      <c r="F32" s="5"/>
      <c r="H32" s="19"/>
      <c r="N32" s="39">
        <v>45382.0</v>
      </c>
      <c r="O32" s="40">
        <f t="shared" si="3"/>
        <v>14.66</v>
      </c>
      <c r="P32" s="5">
        <f t="shared" si="4"/>
        <v>1154.62</v>
      </c>
      <c r="Q32" s="5">
        <f t="shared" si="2"/>
        <v>37.24580645</v>
      </c>
    </row>
    <row r="33">
      <c r="A33" s="39">
        <v>45359.0</v>
      </c>
      <c r="B33" s="4" t="s">
        <v>47</v>
      </c>
      <c r="C33" s="21">
        <v>2.65</v>
      </c>
      <c r="E33" s="19"/>
      <c r="F33" s="5"/>
      <c r="H33" s="19"/>
      <c r="N33" s="39"/>
      <c r="Q33" s="5"/>
    </row>
    <row r="34">
      <c r="A34" s="39">
        <v>45360.0</v>
      </c>
      <c r="B34" s="4" t="s">
        <v>64</v>
      </c>
      <c r="C34" s="4">
        <v>13.49</v>
      </c>
      <c r="E34" s="19"/>
      <c r="F34" s="5"/>
      <c r="H34" s="19"/>
      <c r="Q34" s="5"/>
    </row>
    <row r="35">
      <c r="A35" s="39">
        <v>45360.0</v>
      </c>
      <c r="B35" s="4" t="s">
        <v>371</v>
      </c>
      <c r="C35" s="21">
        <v>20.97</v>
      </c>
      <c r="E35" s="19"/>
      <c r="F35" s="5"/>
      <c r="H35" s="19"/>
      <c r="Q35" s="5"/>
    </row>
    <row r="36">
      <c r="A36" s="39">
        <v>45360.0</v>
      </c>
      <c r="B36" s="4" t="s">
        <v>127</v>
      </c>
      <c r="C36" s="21">
        <v>5.8</v>
      </c>
      <c r="E36" s="19"/>
      <c r="F36" s="5"/>
      <c r="H36" s="19"/>
      <c r="Q36" s="5"/>
    </row>
    <row r="37">
      <c r="A37" s="39">
        <v>45360.0</v>
      </c>
      <c r="B37" s="4" t="s">
        <v>47</v>
      </c>
      <c r="C37" s="21">
        <v>5.85</v>
      </c>
      <c r="E37" s="19"/>
      <c r="F37" s="5"/>
      <c r="H37" s="19"/>
      <c r="Q37" s="5"/>
    </row>
    <row r="38">
      <c r="A38" s="39">
        <v>45360.0</v>
      </c>
      <c r="B38" s="4" t="s">
        <v>372</v>
      </c>
      <c r="C38" s="21">
        <v>1.0</v>
      </c>
      <c r="E38" s="19"/>
      <c r="F38" s="5"/>
      <c r="H38" s="19"/>
      <c r="Q38" s="5"/>
    </row>
    <row r="39">
      <c r="A39" s="39">
        <v>45361.0</v>
      </c>
      <c r="B39" s="4" t="s">
        <v>76</v>
      </c>
      <c r="C39" s="21">
        <v>3.6</v>
      </c>
      <c r="E39" s="19"/>
      <c r="F39" s="5"/>
      <c r="H39" s="19"/>
      <c r="Q39" s="5"/>
    </row>
    <row r="40">
      <c r="A40" s="39">
        <v>45361.0</v>
      </c>
      <c r="B40" s="4" t="s">
        <v>127</v>
      </c>
      <c r="C40" s="21">
        <v>1.9</v>
      </c>
      <c r="E40" s="19"/>
      <c r="F40" s="5"/>
      <c r="H40" s="19"/>
      <c r="Q40" s="5"/>
    </row>
    <row r="41">
      <c r="A41" s="39">
        <v>45361.0</v>
      </c>
      <c r="B41" s="4" t="s">
        <v>47</v>
      </c>
      <c r="C41" s="21">
        <v>10.61</v>
      </c>
      <c r="E41" s="19"/>
      <c r="F41" s="5"/>
      <c r="H41" s="19"/>
      <c r="Q41" s="5"/>
    </row>
    <row r="42">
      <c r="A42" s="39">
        <v>45362.0</v>
      </c>
      <c r="B42" s="4" t="s">
        <v>373</v>
      </c>
      <c r="C42" s="21">
        <v>4.2</v>
      </c>
      <c r="E42" s="19"/>
      <c r="F42" s="5"/>
      <c r="H42" s="19"/>
      <c r="Q42" s="5"/>
    </row>
    <row r="43">
      <c r="A43" s="39">
        <v>45362.0</v>
      </c>
      <c r="B43" s="4" t="s">
        <v>47</v>
      </c>
      <c r="C43" s="21">
        <v>1.75</v>
      </c>
      <c r="E43" s="19"/>
      <c r="F43" s="5"/>
      <c r="H43" s="19"/>
      <c r="Q43" s="5"/>
    </row>
    <row r="44">
      <c r="A44" s="39">
        <v>45362.0</v>
      </c>
      <c r="B44" s="4" t="s">
        <v>59</v>
      </c>
      <c r="C44" s="21">
        <v>15.0</v>
      </c>
      <c r="E44" s="19"/>
      <c r="F44" s="5"/>
      <c r="H44" s="19"/>
      <c r="Q44" s="5"/>
    </row>
    <row r="45">
      <c r="A45" s="39">
        <v>45364.0</v>
      </c>
      <c r="B45" s="4" t="s">
        <v>209</v>
      </c>
      <c r="C45" s="21">
        <v>8.4</v>
      </c>
      <c r="E45" s="19"/>
      <c r="F45" s="5"/>
      <c r="H45" s="19"/>
      <c r="Q45" s="5"/>
    </row>
    <row r="46">
      <c r="A46" s="39">
        <v>45364.0</v>
      </c>
      <c r="B46" s="4" t="s">
        <v>374</v>
      </c>
      <c r="C46" s="21">
        <v>66.97</v>
      </c>
      <c r="E46" s="19"/>
      <c r="F46" s="5"/>
      <c r="H46" s="19"/>
      <c r="Q46" s="5"/>
    </row>
    <row r="47">
      <c r="A47" s="39">
        <v>45364.0</v>
      </c>
      <c r="B47" s="4" t="s">
        <v>47</v>
      </c>
      <c r="C47" s="21">
        <v>1.1</v>
      </c>
      <c r="E47" s="19"/>
      <c r="F47" s="5"/>
      <c r="H47" s="19"/>
      <c r="Q47" s="5"/>
    </row>
    <row r="48">
      <c r="A48" s="39">
        <v>45364.0</v>
      </c>
      <c r="B48" s="4" t="s">
        <v>164</v>
      </c>
      <c r="C48" s="21">
        <v>6.0</v>
      </c>
      <c r="E48" s="19"/>
      <c r="F48" s="5"/>
      <c r="H48" s="19"/>
      <c r="Q48" s="5"/>
    </row>
    <row r="49">
      <c r="A49" s="39">
        <v>45364.0</v>
      </c>
      <c r="B49" s="4" t="s">
        <v>45</v>
      </c>
      <c r="C49" s="21">
        <v>5.9</v>
      </c>
      <c r="E49" s="19"/>
      <c r="F49" s="5"/>
      <c r="H49" s="19"/>
      <c r="Q49" s="5"/>
    </row>
    <row r="50">
      <c r="A50" s="39">
        <v>45364.0</v>
      </c>
      <c r="B50" s="4" t="s">
        <v>45</v>
      </c>
      <c r="C50" s="21">
        <v>6.9</v>
      </c>
      <c r="E50" s="19"/>
      <c r="F50" s="5"/>
      <c r="H50" s="19"/>
      <c r="Q50" s="5"/>
    </row>
    <row r="51">
      <c r="A51" s="39">
        <v>45364.0</v>
      </c>
      <c r="B51" s="4" t="s">
        <v>73</v>
      </c>
      <c r="C51" s="21">
        <v>8.75</v>
      </c>
      <c r="E51" s="19"/>
      <c r="F51" s="5"/>
      <c r="H51" s="19"/>
      <c r="Q51" s="5"/>
    </row>
    <row r="52">
      <c r="A52" s="39">
        <v>45364.0</v>
      </c>
      <c r="B52" s="4" t="s">
        <v>52</v>
      </c>
      <c r="C52" s="21">
        <v>7.81</v>
      </c>
      <c r="E52" s="19"/>
      <c r="F52" s="5"/>
      <c r="H52" s="19"/>
      <c r="Q52" s="5"/>
    </row>
    <row r="53">
      <c r="A53" s="39">
        <v>45364.0</v>
      </c>
      <c r="B53" s="4" t="s">
        <v>47</v>
      </c>
      <c r="C53" s="21">
        <v>5.0</v>
      </c>
      <c r="E53" s="19"/>
      <c r="F53" s="5"/>
      <c r="H53" s="19"/>
      <c r="Q53" s="5"/>
    </row>
    <row r="54">
      <c r="A54" s="39">
        <v>45365.0</v>
      </c>
      <c r="B54" s="4" t="s">
        <v>64</v>
      </c>
      <c r="C54" s="21">
        <v>24.32</v>
      </c>
      <c r="E54" s="19"/>
      <c r="F54" s="5"/>
      <c r="H54" s="19"/>
      <c r="Q54" s="5"/>
    </row>
    <row r="55">
      <c r="A55" s="39">
        <v>45365.0</v>
      </c>
      <c r="B55" s="4" t="s">
        <v>127</v>
      </c>
      <c r="C55" s="21">
        <v>1.9</v>
      </c>
      <c r="E55" s="19"/>
      <c r="F55" s="5"/>
      <c r="H55" s="19"/>
      <c r="Q55" s="5"/>
    </row>
    <row r="56">
      <c r="A56" s="39">
        <v>45365.0</v>
      </c>
      <c r="B56" s="4" t="s">
        <v>47</v>
      </c>
      <c r="C56" s="43">
        <v>2.25</v>
      </c>
      <c r="E56" s="19"/>
      <c r="F56" s="5"/>
      <c r="H56" s="19"/>
      <c r="Q56" s="5"/>
    </row>
    <row r="57">
      <c r="A57" s="39">
        <v>45365.0</v>
      </c>
      <c r="B57" s="4" t="s">
        <v>47</v>
      </c>
      <c r="C57" s="21">
        <v>7.45</v>
      </c>
      <c r="E57" s="19"/>
      <c r="F57" s="5"/>
      <c r="H57" s="19"/>
      <c r="Q57" s="5"/>
    </row>
    <row r="58">
      <c r="A58" s="39">
        <v>45366.0</v>
      </c>
      <c r="B58" s="4" t="s">
        <v>371</v>
      </c>
      <c r="C58" s="21">
        <v>12.28</v>
      </c>
      <c r="E58" s="19"/>
      <c r="F58" s="5"/>
      <c r="H58" s="19"/>
      <c r="Q58" s="5"/>
    </row>
    <row r="59">
      <c r="A59" s="39">
        <v>45366.0</v>
      </c>
      <c r="B59" s="4" t="s">
        <v>127</v>
      </c>
      <c r="C59" s="21">
        <v>5.6</v>
      </c>
      <c r="E59" s="19"/>
      <c r="F59" s="5"/>
      <c r="H59" s="19"/>
      <c r="Q59" s="5"/>
    </row>
    <row r="60">
      <c r="A60" s="39">
        <v>45366.0</v>
      </c>
      <c r="B60" s="4" t="s">
        <v>140</v>
      </c>
      <c r="C60" s="21">
        <v>11.0</v>
      </c>
      <c r="E60" s="19"/>
      <c r="F60" s="5"/>
      <c r="H60" s="19"/>
      <c r="Q60" s="5"/>
    </row>
    <row r="61">
      <c r="A61" s="39">
        <v>45366.0</v>
      </c>
      <c r="B61" s="4" t="s">
        <v>76</v>
      </c>
      <c r="C61" s="21">
        <v>3.9</v>
      </c>
      <c r="E61" s="19"/>
      <c r="F61" s="5"/>
      <c r="H61" s="19"/>
      <c r="Q61" s="5"/>
    </row>
    <row r="62">
      <c r="A62" s="39">
        <v>45366.0</v>
      </c>
      <c r="B62" s="4" t="s">
        <v>127</v>
      </c>
      <c r="C62" s="21">
        <v>1.9</v>
      </c>
      <c r="E62" s="19"/>
      <c r="F62" s="5"/>
      <c r="H62" s="19"/>
      <c r="Q62" s="5"/>
    </row>
    <row r="63">
      <c r="A63" s="39">
        <v>45366.0</v>
      </c>
      <c r="B63" s="4" t="s">
        <v>47</v>
      </c>
      <c r="C63" s="21">
        <v>7.15</v>
      </c>
      <c r="E63" s="19"/>
      <c r="F63" s="5"/>
      <c r="H63" s="19"/>
      <c r="Q63" s="5"/>
    </row>
    <row r="64">
      <c r="A64" s="39">
        <v>45367.0</v>
      </c>
      <c r="B64" s="4" t="s">
        <v>119</v>
      </c>
      <c r="C64" s="21">
        <v>7.99</v>
      </c>
      <c r="E64" s="19"/>
      <c r="F64" s="5"/>
      <c r="H64" s="19"/>
      <c r="Q64" s="5"/>
    </row>
    <row r="65">
      <c r="A65" s="39">
        <v>45368.0</v>
      </c>
      <c r="B65" s="4" t="s">
        <v>127</v>
      </c>
      <c r="C65" s="21">
        <v>3.8</v>
      </c>
      <c r="E65" s="19"/>
      <c r="F65" s="5"/>
      <c r="H65" s="19"/>
      <c r="Q65" s="5"/>
    </row>
    <row r="66">
      <c r="A66" s="39">
        <v>45368.0</v>
      </c>
      <c r="B66" s="4" t="s">
        <v>47</v>
      </c>
      <c r="C66" s="21">
        <f>1.5+5.1</f>
        <v>6.6</v>
      </c>
      <c r="E66" s="19"/>
      <c r="F66" s="5"/>
      <c r="H66" s="19"/>
      <c r="Q66" s="5"/>
    </row>
    <row r="67">
      <c r="A67" s="39">
        <v>45369.0</v>
      </c>
      <c r="B67" s="4" t="s">
        <v>47</v>
      </c>
      <c r="C67" s="21">
        <v>4.3</v>
      </c>
      <c r="E67" s="19"/>
      <c r="F67" s="5"/>
      <c r="H67" s="19"/>
      <c r="Q67" s="5"/>
    </row>
    <row r="68">
      <c r="A68" s="39">
        <v>45370.0</v>
      </c>
      <c r="B68" s="4" t="s">
        <v>230</v>
      </c>
      <c r="C68" s="21">
        <v>9.92</v>
      </c>
      <c r="E68" s="19"/>
      <c r="F68" s="5"/>
      <c r="H68" s="19"/>
      <c r="Q68" s="5"/>
    </row>
    <row r="69">
      <c r="A69" s="39">
        <v>45370.0</v>
      </c>
      <c r="B69" s="4" t="s">
        <v>375</v>
      </c>
      <c r="C69" s="21">
        <v>19.99</v>
      </c>
      <c r="E69" s="19"/>
      <c r="F69" s="5"/>
      <c r="H69" s="19"/>
      <c r="Q69" s="5"/>
    </row>
    <row r="70">
      <c r="A70" s="39">
        <v>45370.0</v>
      </c>
      <c r="B70" s="4" t="s">
        <v>47</v>
      </c>
      <c r="C70" s="21">
        <v>12.31</v>
      </c>
      <c r="E70" s="19"/>
      <c r="F70" s="5"/>
      <c r="H70" s="19"/>
      <c r="Q70" s="5"/>
    </row>
    <row r="71">
      <c r="A71" s="39">
        <v>45371.0</v>
      </c>
      <c r="B71" s="4" t="s">
        <v>64</v>
      </c>
      <c r="C71" s="21">
        <v>21.57</v>
      </c>
      <c r="E71" s="19"/>
      <c r="F71" s="5"/>
      <c r="H71" s="19"/>
      <c r="Q71" s="5"/>
    </row>
    <row r="72">
      <c r="A72" s="39">
        <v>45372.0</v>
      </c>
      <c r="B72" s="4" t="s">
        <v>64</v>
      </c>
      <c r="C72" s="21">
        <f>14.61+7</f>
        <v>21.61</v>
      </c>
      <c r="E72" s="19"/>
      <c r="F72" s="5"/>
      <c r="H72" s="19"/>
      <c r="Q72" s="5"/>
    </row>
    <row r="73">
      <c r="A73" s="39">
        <v>45372.0</v>
      </c>
      <c r="B73" s="4" t="s">
        <v>140</v>
      </c>
      <c r="C73" s="21">
        <v>15.7</v>
      </c>
      <c r="E73" s="19"/>
      <c r="F73" s="5"/>
      <c r="H73" s="19"/>
      <c r="Q73" s="5"/>
    </row>
    <row r="74">
      <c r="A74" s="39">
        <v>45372.0</v>
      </c>
      <c r="B74" s="4" t="s">
        <v>210</v>
      </c>
      <c r="C74" s="21">
        <v>19.4</v>
      </c>
      <c r="E74" s="19"/>
      <c r="F74" s="5"/>
      <c r="H74" s="19"/>
      <c r="Q74" s="5"/>
    </row>
    <row r="75">
      <c r="A75" s="39">
        <v>45372.0</v>
      </c>
      <c r="B75" s="4" t="s">
        <v>164</v>
      </c>
      <c r="C75" s="21">
        <v>28.47</v>
      </c>
      <c r="E75" s="19"/>
      <c r="F75" s="5"/>
      <c r="H75" s="19"/>
      <c r="Q75" s="5"/>
    </row>
    <row r="76">
      <c r="A76" s="39">
        <v>45372.0</v>
      </c>
      <c r="B76" s="4" t="s">
        <v>45</v>
      </c>
      <c r="C76" s="21">
        <v>19.3</v>
      </c>
      <c r="E76" s="19"/>
      <c r="F76" s="5"/>
      <c r="H76" s="19"/>
      <c r="Q76" s="5"/>
    </row>
    <row r="77">
      <c r="A77" s="39">
        <v>45373.0</v>
      </c>
      <c r="B77" s="4" t="s">
        <v>127</v>
      </c>
      <c r="C77" s="4">
        <v>8.5</v>
      </c>
      <c r="E77" s="19"/>
      <c r="F77" s="5"/>
      <c r="H77" s="19"/>
      <c r="Q77" s="5"/>
    </row>
    <row r="78">
      <c r="A78" s="39">
        <v>45373.0</v>
      </c>
      <c r="B78" s="4" t="s">
        <v>45</v>
      </c>
      <c r="C78" s="40">
        <f>sum(6.9,14.6,7.3)</f>
        <v>28.8</v>
      </c>
      <c r="E78" s="19"/>
      <c r="F78" s="5"/>
      <c r="H78" s="19"/>
      <c r="Q78" s="5"/>
    </row>
    <row r="79">
      <c r="A79" s="39">
        <v>45373.0</v>
      </c>
      <c r="B79" s="4" t="s">
        <v>210</v>
      </c>
      <c r="C79" s="52">
        <v>18.4</v>
      </c>
      <c r="E79" s="19"/>
      <c r="F79" s="5"/>
      <c r="H79" s="19"/>
      <c r="Q79" s="5"/>
    </row>
    <row r="80">
      <c r="A80" s="39">
        <v>45374.0</v>
      </c>
      <c r="B80" s="4" t="s">
        <v>73</v>
      </c>
      <c r="C80" s="4">
        <v>3.74</v>
      </c>
      <c r="E80" s="19"/>
      <c r="F80" s="5"/>
      <c r="H80" s="19"/>
      <c r="Q80" s="5"/>
    </row>
    <row r="81">
      <c r="A81" s="39">
        <v>45374.0</v>
      </c>
      <c r="B81" s="4" t="s">
        <v>260</v>
      </c>
      <c r="C81" s="21">
        <v>4.99</v>
      </c>
      <c r="E81" s="19"/>
      <c r="F81" s="5"/>
      <c r="H81" s="19"/>
      <c r="Q81" s="5"/>
    </row>
    <row r="82">
      <c r="A82" s="39">
        <v>45375.0</v>
      </c>
      <c r="B82" s="4" t="s">
        <v>47</v>
      </c>
      <c r="C82" s="21">
        <v>2.75</v>
      </c>
      <c r="E82" s="19"/>
      <c r="F82" s="5"/>
      <c r="H82" s="19"/>
      <c r="Q82" s="5"/>
    </row>
    <row r="83">
      <c r="A83" s="39">
        <v>45375.0</v>
      </c>
      <c r="B83" s="4" t="s">
        <v>76</v>
      </c>
      <c r="C83" s="21">
        <v>3.4</v>
      </c>
      <c r="E83" s="19"/>
      <c r="F83" s="5"/>
      <c r="H83" s="19"/>
      <c r="Q83" s="5"/>
    </row>
    <row r="84">
      <c r="A84" s="39">
        <v>45375.0</v>
      </c>
      <c r="B84" s="4" t="s">
        <v>110</v>
      </c>
      <c r="C84" s="21">
        <v>20.0</v>
      </c>
      <c r="E84" s="19"/>
      <c r="F84" s="5"/>
      <c r="H84" s="19"/>
      <c r="Q84" s="5"/>
    </row>
    <row r="85">
      <c r="A85" s="39">
        <v>45376.0</v>
      </c>
      <c r="B85" s="4" t="s">
        <v>253</v>
      </c>
      <c r="C85" s="21">
        <v>43.06</v>
      </c>
      <c r="E85" s="19"/>
      <c r="F85" s="5"/>
      <c r="H85" s="19"/>
      <c r="Q85" s="5"/>
    </row>
    <row r="86">
      <c r="A86" s="39">
        <v>45376.0</v>
      </c>
      <c r="B86" s="4" t="s">
        <v>127</v>
      </c>
      <c r="C86" s="21">
        <v>1.9</v>
      </c>
      <c r="E86" s="19"/>
      <c r="F86" s="5"/>
      <c r="H86" s="19"/>
      <c r="Q86" s="5"/>
    </row>
    <row r="87">
      <c r="A87" s="39">
        <v>45376.0</v>
      </c>
      <c r="B87" s="4" t="s">
        <v>47</v>
      </c>
      <c r="C87" s="21">
        <v>1.79</v>
      </c>
      <c r="E87" s="19"/>
      <c r="F87" s="5"/>
      <c r="H87" s="19"/>
      <c r="Q87" s="5"/>
    </row>
    <row r="88">
      <c r="A88" s="39">
        <v>45377.0</v>
      </c>
      <c r="B88" s="4" t="s">
        <v>45</v>
      </c>
      <c r="C88" s="21">
        <v>14.45</v>
      </c>
      <c r="E88" s="19"/>
      <c r="F88" s="5"/>
      <c r="H88" s="19"/>
      <c r="Q88" s="5"/>
    </row>
    <row r="89">
      <c r="A89" s="39">
        <v>45377.0</v>
      </c>
      <c r="B89" s="4" t="s">
        <v>210</v>
      </c>
      <c r="C89" s="21">
        <v>21.9</v>
      </c>
      <c r="E89" s="19"/>
      <c r="F89" s="5"/>
      <c r="H89" s="19"/>
      <c r="Q89" s="5"/>
    </row>
    <row r="90">
      <c r="A90" s="39">
        <v>45378.0</v>
      </c>
      <c r="B90" s="4" t="s">
        <v>209</v>
      </c>
      <c r="C90" s="21">
        <v>5.49</v>
      </c>
      <c r="E90" s="19"/>
      <c r="F90" s="5"/>
      <c r="H90" s="19"/>
      <c r="Q90" s="5"/>
    </row>
    <row r="91">
      <c r="A91" s="39">
        <v>45378.0</v>
      </c>
      <c r="B91" s="4" t="s">
        <v>47</v>
      </c>
      <c r="C91" s="21">
        <v>5.75</v>
      </c>
      <c r="E91" s="19"/>
      <c r="F91" s="5"/>
      <c r="H91" s="19"/>
      <c r="Q91" s="5"/>
    </row>
    <row r="92">
      <c r="A92" s="39">
        <v>45379.0</v>
      </c>
      <c r="B92" s="4" t="s">
        <v>59</v>
      </c>
      <c r="C92" s="21">
        <v>15.01</v>
      </c>
      <c r="E92" s="19"/>
      <c r="F92" s="5"/>
      <c r="H92" s="19"/>
      <c r="Q92" s="5"/>
    </row>
    <row r="93">
      <c r="A93" s="39">
        <v>45379.0</v>
      </c>
      <c r="B93" s="4" t="s">
        <v>47</v>
      </c>
      <c r="C93" s="21">
        <v>4.7</v>
      </c>
      <c r="E93" s="19"/>
      <c r="F93" s="5"/>
      <c r="H93" s="19"/>
      <c r="Q93" s="5"/>
    </row>
    <row r="94">
      <c r="A94" s="39">
        <v>45379.0</v>
      </c>
      <c r="B94" s="4" t="s">
        <v>127</v>
      </c>
      <c r="C94" s="21">
        <v>4.8</v>
      </c>
      <c r="E94" s="19"/>
      <c r="F94" s="5"/>
      <c r="H94" s="19"/>
      <c r="Q94" s="5"/>
    </row>
    <row r="95">
      <c r="A95" s="39">
        <v>45380.0</v>
      </c>
      <c r="B95" s="4" t="s">
        <v>57</v>
      </c>
      <c r="C95" s="21">
        <v>0.75</v>
      </c>
      <c r="E95" s="19"/>
      <c r="F95" s="5"/>
      <c r="H95" s="19"/>
      <c r="Q95" s="5"/>
    </row>
    <row r="96">
      <c r="A96" s="39">
        <v>45380.0</v>
      </c>
      <c r="B96" s="4" t="s">
        <v>47</v>
      </c>
      <c r="C96" s="4">
        <v>8.25</v>
      </c>
      <c r="E96" s="19"/>
      <c r="F96" s="5"/>
      <c r="H96" s="19"/>
      <c r="Q96" s="5"/>
    </row>
    <row r="97">
      <c r="A97" s="39">
        <v>45380.0</v>
      </c>
      <c r="B97" s="4" t="s">
        <v>57</v>
      </c>
      <c r="C97" s="21">
        <v>6.5</v>
      </c>
      <c r="E97" s="19"/>
      <c r="F97" s="5"/>
      <c r="H97" s="19"/>
      <c r="Q97" s="5"/>
    </row>
    <row r="98">
      <c r="A98" s="39">
        <v>45380.0</v>
      </c>
      <c r="B98" s="4" t="s">
        <v>230</v>
      </c>
      <c r="C98" s="21">
        <f>0.13+10.99</f>
        <v>11.12</v>
      </c>
      <c r="E98" s="19"/>
      <c r="F98" s="5"/>
      <c r="H98" s="19"/>
      <c r="Q98" s="5"/>
    </row>
    <row r="99">
      <c r="A99" s="39">
        <v>45382.0</v>
      </c>
      <c r="B99" s="4" t="s">
        <v>376</v>
      </c>
      <c r="C99" s="21">
        <v>10.61</v>
      </c>
      <c r="E99" s="19"/>
      <c r="F99" s="5"/>
      <c r="H99" s="19"/>
      <c r="Q99" s="5"/>
    </row>
    <row r="100">
      <c r="A100" s="39">
        <v>45381.0</v>
      </c>
      <c r="B100" s="4" t="s">
        <v>377</v>
      </c>
      <c r="C100" s="21">
        <v>37.0</v>
      </c>
      <c r="E100" s="19"/>
      <c r="F100" s="5"/>
      <c r="H100" s="19"/>
      <c r="Q100" s="5"/>
    </row>
    <row r="101">
      <c r="A101" s="39">
        <v>45381.0</v>
      </c>
      <c r="B101" s="4" t="s">
        <v>47</v>
      </c>
      <c r="C101" s="21">
        <v>10.75</v>
      </c>
      <c r="E101" s="19"/>
      <c r="F101" s="5"/>
      <c r="H101" s="19"/>
      <c r="Q101" s="5"/>
    </row>
    <row r="102">
      <c r="A102" s="39">
        <v>45382.0</v>
      </c>
      <c r="B102" s="4" t="s">
        <v>76</v>
      </c>
      <c r="C102" s="21">
        <v>4.05</v>
      </c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44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O1:O1000 Q1:Q1000">
    <cfRule type="cellIs" dxfId="0" priority="1" operator="lessThan">
      <formula>20</formula>
    </cfRule>
  </conditionalFormatting>
  <conditionalFormatting sqref="O1:O1000 Q1:Q1000">
    <cfRule type="cellIs" dxfId="6" priority="2" operator="lessThan">
      <formula>30</formula>
    </cfRule>
  </conditionalFormatting>
  <conditionalFormatting sqref="O1:O1000 Q1:Q1000">
    <cfRule type="cellIs" dxfId="1" priority="3" operator="greaterThanOrEqual">
      <formula>30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1">
    <cfRule type="cellIs" dxfId="3" priority="6" operator="greaterThan">
      <formula>0</formula>
    </cfRule>
  </conditionalFormatting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74.2</v>
      </c>
      <c r="H1" s="1" t="s">
        <v>46</v>
      </c>
      <c r="I1" s="5">
        <f>I6-I7</f>
        <v>-1072.33</v>
      </c>
      <c r="J1" s="19"/>
      <c r="K1" s="1" t="s">
        <v>47</v>
      </c>
      <c r="L1" s="5">
        <f t="shared" ref="L1:L4" si="1">SUMIF(B:B,K1,C:I)</f>
        <v>75.83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45323.0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67.76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12.34</v>
      </c>
      <c r="N2" s="39">
        <v>45323.0</v>
      </c>
      <c r="O2" s="5">
        <f>sumif(A:A,N2,C:C)-sum(C2:C5)</f>
        <v>1090.07</v>
      </c>
      <c r="P2" s="5">
        <f>SUM(O2)</f>
        <v>1090.07</v>
      </c>
      <c r="Q2" s="5">
        <f t="shared" ref="Q2:Q30" si="2">P2/(ROW()-1)</f>
        <v>1090.07</v>
      </c>
    </row>
    <row r="3">
      <c r="A3" s="39">
        <v>45323.0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0</v>
      </c>
      <c r="H3" s="1" t="s">
        <v>8</v>
      </c>
      <c r="I3" s="5">
        <f>SUMIF(B:B,H3,C:C)+I1</f>
        <v>-822.33</v>
      </c>
      <c r="K3" s="1" t="s">
        <v>56</v>
      </c>
      <c r="L3" s="5">
        <f t="shared" si="1"/>
        <v>3.75</v>
      </c>
      <c r="N3" s="39">
        <v>45324.0</v>
      </c>
      <c r="O3" s="40">
        <f t="shared" ref="O3:O30" si="3">sumif(A:A,N3,C:C)</f>
        <v>5.13</v>
      </c>
      <c r="P3" s="5">
        <f t="shared" ref="P3:P30" si="4">P2+O3</f>
        <v>1095.2</v>
      </c>
      <c r="Q3" s="5">
        <f t="shared" si="2"/>
        <v>547.6</v>
      </c>
    </row>
    <row r="4">
      <c r="A4" s="39">
        <v>45323.0</v>
      </c>
      <c r="B4" s="4" t="s">
        <v>6</v>
      </c>
      <c r="C4" s="21">
        <v>250.0</v>
      </c>
      <c r="E4" s="1" t="s">
        <v>140</v>
      </c>
      <c r="F4" s="5">
        <f>SUMIF(B:B,E4,C:C)</f>
        <v>54.34</v>
      </c>
      <c r="H4" s="1" t="s">
        <v>58</v>
      </c>
      <c r="I4" s="5">
        <f>I2+I3</f>
        <v>-572.33</v>
      </c>
      <c r="K4" s="1" t="s">
        <v>59</v>
      </c>
      <c r="L4" s="5">
        <f t="shared" si="1"/>
        <v>108.52</v>
      </c>
      <c r="N4" s="39">
        <v>45325.0</v>
      </c>
      <c r="O4" s="40">
        <f t="shared" si="3"/>
        <v>39.49</v>
      </c>
      <c r="P4" s="5">
        <f t="shared" si="4"/>
        <v>1134.69</v>
      </c>
      <c r="Q4" s="5">
        <f t="shared" si="2"/>
        <v>378.23</v>
      </c>
    </row>
    <row r="5">
      <c r="A5" s="39">
        <v>45323.0</v>
      </c>
      <c r="B5" s="4" t="s">
        <v>252</v>
      </c>
      <c r="C5" s="21">
        <v>40.81</v>
      </c>
      <c r="E5" s="1" t="s">
        <v>57</v>
      </c>
      <c r="F5" s="5">
        <f>sum(L:L)</f>
        <v>200.44</v>
      </c>
      <c r="N5" s="39">
        <v>45326.0</v>
      </c>
      <c r="O5" s="40">
        <f t="shared" si="3"/>
        <v>133.31</v>
      </c>
      <c r="P5" s="5">
        <f t="shared" si="4"/>
        <v>1268</v>
      </c>
      <c r="Q5" s="5">
        <f t="shared" si="2"/>
        <v>317</v>
      </c>
    </row>
    <row r="6">
      <c r="A6" s="39">
        <v>45323.0</v>
      </c>
      <c r="B6" s="4" t="s">
        <v>378</v>
      </c>
      <c r="C6" s="21">
        <f>813.39-60</f>
        <v>753.39</v>
      </c>
      <c r="E6" s="42" t="s">
        <v>61</v>
      </c>
      <c r="F6" s="5">
        <f>SUMIF(B:B,"Games",C:C)+SUMIF(B:B,"Spotify",C:C)+SUMIF(B:B,"Disney+",C:C)+SUMIF(B:B,"Book",C:C)+SUMIF(B:B,"Audible",C:C)</f>
        <v>36.4</v>
      </c>
      <c r="H6" s="1" t="s">
        <v>65</v>
      </c>
      <c r="I6" s="49">
        <v>2862.6</v>
      </c>
      <c r="N6" s="39">
        <v>45327.0</v>
      </c>
      <c r="O6" s="40">
        <f t="shared" si="3"/>
        <v>0</v>
      </c>
      <c r="P6" s="5">
        <f t="shared" si="4"/>
        <v>1268</v>
      </c>
      <c r="Q6" s="5">
        <f t="shared" si="2"/>
        <v>253.6</v>
      </c>
    </row>
    <row r="7">
      <c r="A7" s="39">
        <v>45323.0</v>
      </c>
      <c r="B7" s="4" t="s">
        <v>45</v>
      </c>
      <c r="C7" s="21">
        <v>13.68</v>
      </c>
      <c r="E7" s="1" t="s">
        <v>64</v>
      </c>
      <c r="F7" s="5">
        <f>SUMIF(B:B,E7,C:C)+SUMIF(B:B,"Shoes",C:C)</f>
        <v>73.39</v>
      </c>
      <c r="H7" s="1" t="s">
        <v>68</v>
      </c>
      <c r="I7" s="5">
        <f>sum(C:C)</f>
        <v>3934.93</v>
      </c>
      <c r="N7" s="39">
        <v>45328.0</v>
      </c>
      <c r="O7" s="40">
        <f t="shared" si="3"/>
        <v>15.14</v>
      </c>
      <c r="P7" s="5">
        <f t="shared" si="4"/>
        <v>1283.14</v>
      </c>
      <c r="Q7" s="5">
        <f t="shared" si="2"/>
        <v>213.8566667</v>
      </c>
    </row>
    <row r="8">
      <c r="A8" s="39">
        <v>45323.0</v>
      </c>
      <c r="B8" s="4" t="s">
        <v>379</v>
      </c>
      <c r="C8" s="21">
        <v>323.0</v>
      </c>
      <c r="E8" s="1" t="s">
        <v>54</v>
      </c>
      <c r="F8" s="5">
        <f>SUMIF(B:B,E8,C:C)+SUMIF(B:B,"Phone",C:C)</f>
        <v>1145.81</v>
      </c>
      <c r="H8" s="1" t="s">
        <v>72</v>
      </c>
      <c r="I8" s="5">
        <f>sum(F:F)+I2+C2</f>
        <v>3350.05</v>
      </c>
      <c r="N8" s="39">
        <v>45329.0</v>
      </c>
      <c r="O8" s="40">
        <f t="shared" si="3"/>
        <v>77.27</v>
      </c>
      <c r="P8" s="5">
        <f t="shared" si="4"/>
        <v>1360.41</v>
      </c>
      <c r="Q8" s="5">
        <f t="shared" si="2"/>
        <v>194.3442857</v>
      </c>
    </row>
    <row r="9">
      <c r="A9" s="39">
        <v>45324.0</v>
      </c>
      <c r="B9" s="4" t="s">
        <v>45</v>
      </c>
      <c r="C9" s="21">
        <v>5.13</v>
      </c>
      <c r="E9" s="1" t="s">
        <v>127</v>
      </c>
      <c r="F9" s="5">
        <f>SUMIF(B:B,E9,C:C)</f>
        <v>26.85</v>
      </c>
      <c r="H9" s="1" t="s">
        <v>74</v>
      </c>
      <c r="I9" s="5">
        <f>I7-I8</f>
        <v>584.88</v>
      </c>
      <c r="N9" s="39">
        <v>45330.0</v>
      </c>
      <c r="O9" s="40">
        <f t="shared" si="3"/>
        <v>46.19</v>
      </c>
      <c r="P9" s="5">
        <f t="shared" si="4"/>
        <v>1406.6</v>
      </c>
      <c r="Q9" s="5">
        <f t="shared" si="2"/>
        <v>175.825</v>
      </c>
    </row>
    <row r="10">
      <c r="A10" s="39">
        <v>45325.0</v>
      </c>
      <c r="B10" s="4" t="s">
        <v>380</v>
      </c>
      <c r="C10" s="21">
        <f>2.93+13.75+2.22+4.02</f>
        <v>22.92</v>
      </c>
      <c r="E10" s="1" t="s">
        <v>164</v>
      </c>
      <c r="F10" s="48">
        <f>SUMIF(B:B,"Cigs",C:C) + SUMIF(B:B,"Snus",C:C)</f>
        <v>25.99</v>
      </c>
      <c r="N10" s="39">
        <v>45331.0</v>
      </c>
      <c r="O10" s="40">
        <f t="shared" si="3"/>
        <v>9.34</v>
      </c>
      <c r="P10" s="5">
        <f t="shared" si="4"/>
        <v>1415.94</v>
      </c>
      <c r="Q10" s="5">
        <f t="shared" si="2"/>
        <v>157.3266667</v>
      </c>
    </row>
    <row r="11">
      <c r="A11" s="39">
        <v>45325.0</v>
      </c>
      <c r="B11" s="4" t="s">
        <v>52</v>
      </c>
      <c r="C11" s="21">
        <v>16.57</v>
      </c>
      <c r="E11" s="1" t="s">
        <v>73</v>
      </c>
      <c r="F11" s="5">
        <f>SUMIF(B:B,"Uber",C:C)</f>
        <v>39.49</v>
      </c>
      <c r="H11" s="53" t="s">
        <v>3</v>
      </c>
      <c r="I11" s="54">
        <f>I4/I6</f>
        <v>-0.1999336268</v>
      </c>
      <c r="N11" s="39">
        <v>45332.0</v>
      </c>
      <c r="O11" s="40">
        <f t="shared" si="3"/>
        <v>80.41</v>
      </c>
      <c r="P11" s="5">
        <f t="shared" si="4"/>
        <v>1496.35</v>
      </c>
      <c r="Q11" s="5">
        <f t="shared" si="2"/>
        <v>149.635</v>
      </c>
    </row>
    <row r="12">
      <c r="A12" s="39">
        <v>45326.0</v>
      </c>
      <c r="B12" s="4" t="s">
        <v>77</v>
      </c>
      <c r="C12" s="40">
        <f>6+65.47+21.66</f>
        <v>93.13</v>
      </c>
      <c r="E12" s="1" t="s">
        <v>75</v>
      </c>
      <c r="F12" s="40">
        <f>SUMIF(B:B,"Gym",C:C)+SUMIF(B:B,"Climbing",C:C)</f>
        <v>28.99</v>
      </c>
      <c r="N12" s="39">
        <v>45333.0</v>
      </c>
      <c r="O12" s="40">
        <f t="shared" si="3"/>
        <v>41.75</v>
      </c>
      <c r="P12" s="5">
        <f t="shared" si="4"/>
        <v>1538.1</v>
      </c>
      <c r="Q12" s="5">
        <f t="shared" si="2"/>
        <v>139.8272727</v>
      </c>
    </row>
    <row r="13">
      <c r="A13" s="39">
        <v>45326.0</v>
      </c>
      <c r="B13" s="4" t="s">
        <v>59</v>
      </c>
      <c r="C13" s="21">
        <v>40.18</v>
      </c>
      <c r="N13" s="39">
        <v>45334.0</v>
      </c>
      <c r="O13" s="40">
        <f t="shared" si="3"/>
        <v>60.05</v>
      </c>
      <c r="P13" s="5">
        <f t="shared" si="4"/>
        <v>1598.15</v>
      </c>
      <c r="Q13" s="5">
        <f t="shared" si="2"/>
        <v>133.1791667</v>
      </c>
    </row>
    <row r="14">
      <c r="A14" s="39">
        <v>45328.0</v>
      </c>
      <c r="B14" s="4" t="s">
        <v>47</v>
      </c>
      <c r="C14" s="21">
        <v>6.65</v>
      </c>
      <c r="H14" s="19"/>
      <c r="N14" s="39">
        <v>45335.0</v>
      </c>
      <c r="O14" s="40">
        <f t="shared" si="3"/>
        <v>174.65</v>
      </c>
      <c r="P14" s="5">
        <f t="shared" si="4"/>
        <v>1772.8</v>
      </c>
      <c r="Q14" s="5">
        <f t="shared" si="2"/>
        <v>136.3692308</v>
      </c>
    </row>
    <row r="15">
      <c r="A15" s="39">
        <v>45328.0</v>
      </c>
      <c r="B15" s="4" t="s">
        <v>329</v>
      </c>
      <c r="C15" s="21">
        <v>8.49</v>
      </c>
      <c r="E15" s="1" t="s">
        <v>77</v>
      </c>
      <c r="F15" s="5">
        <f>Sum(C6,C8)</f>
        <v>1076.39</v>
      </c>
      <c r="H15" s="19"/>
      <c r="N15" s="39">
        <v>45336.0</v>
      </c>
      <c r="O15" s="40">
        <f t="shared" si="3"/>
        <v>6.8</v>
      </c>
      <c r="P15" s="5">
        <f t="shared" si="4"/>
        <v>1779.6</v>
      </c>
      <c r="Q15" s="5">
        <f t="shared" si="2"/>
        <v>127.1142857</v>
      </c>
    </row>
    <row r="16">
      <c r="A16" s="39">
        <v>45329.0</v>
      </c>
      <c r="B16" s="4" t="s">
        <v>371</v>
      </c>
      <c r="C16" s="21">
        <f>20.96+12.28</f>
        <v>33.24</v>
      </c>
      <c r="E16" s="1"/>
      <c r="H16" s="19"/>
      <c r="N16" s="39">
        <v>45337.0</v>
      </c>
      <c r="O16" s="40">
        <f t="shared" si="3"/>
        <v>14.95</v>
      </c>
      <c r="P16" s="5">
        <f t="shared" si="4"/>
        <v>1794.55</v>
      </c>
      <c r="Q16" s="5">
        <f t="shared" si="2"/>
        <v>119.6366667</v>
      </c>
    </row>
    <row r="17">
      <c r="A17" s="39">
        <v>45329.0</v>
      </c>
      <c r="B17" s="4" t="s">
        <v>381</v>
      </c>
      <c r="C17" s="21">
        <v>27.0</v>
      </c>
      <c r="H17" s="19"/>
      <c r="N17" s="39">
        <v>45338.0</v>
      </c>
      <c r="O17" s="40">
        <f t="shared" si="3"/>
        <v>0</v>
      </c>
      <c r="P17" s="5">
        <f t="shared" si="4"/>
        <v>1794.55</v>
      </c>
      <c r="Q17" s="5">
        <f t="shared" si="2"/>
        <v>112.159375</v>
      </c>
    </row>
    <row r="18">
      <c r="A18" s="39">
        <v>45329.0</v>
      </c>
      <c r="B18" s="4" t="s">
        <v>47</v>
      </c>
      <c r="C18" s="21">
        <v>17.03</v>
      </c>
      <c r="H18" s="19"/>
      <c r="N18" s="39">
        <v>45339.0</v>
      </c>
      <c r="O18" s="40">
        <f t="shared" si="3"/>
        <v>60.85</v>
      </c>
      <c r="P18" s="5">
        <f t="shared" si="4"/>
        <v>1855.4</v>
      </c>
      <c r="Q18" s="5">
        <f t="shared" si="2"/>
        <v>109.1411765</v>
      </c>
    </row>
    <row r="19">
      <c r="A19" s="39">
        <v>45330.0</v>
      </c>
      <c r="B19" s="4" t="s">
        <v>382</v>
      </c>
      <c r="C19" s="21">
        <v>10.0</v>
      </c>
      <c r="H19" s="19"/>
      <c r="N19" s="39">
        <v>45340.0</v>
      </c>
      <c r="O19" s="40">
        <f t="shared" si="3"/>
        <v>53.37</v>
      </c>
      <c r="P19" s="5">
        <f t="shared" si="4"/>
        <v>1908.77</v>
      </c>
      <c r="Q19" s="5">
        <f t="shared" si="2"/>
        <v>106.0427778</v>
      </c>
    </row>
    <row r="20">
      <c r="A20" s="39">
        <v>45330.0</v>
      </c>
      <c r="B20" s="4" t="s">
        <v>383</v>
      </c>
      <c r="C20" s="21">
        <v>25.74</v>
      </c>
      <c r="H20" s="19"/>
      <c r="N20" s="39">
        <v>45341.0</v>
      </c>
      <c r="O20" s="40">
        <f t="shared" si="3"/>
        <v>31.72</v>
      </c>
      <c r="P20" s="5">
        <f t="shared" si="4"/>
        <v>1940.49</v>
      </c>
      <c r="Q20" s="5">
        <f t="shared" si="2"/>
        <v>102.1310526</v>
      </c>
    </row>
    <row r="21">
      <c r="A21" s="39">
        <v>45330.0</v>
      </c>
      <c r="B21" s="4" t="s">
        <v>47</v>
      </c>
      <c r="C21" s="21">
        <v>4.85</v>
      </c>
      <c r="E21" s="19"/>
      <c r="F21" s="5"/>
      <c r="H21" s="19"/>
      <c r="N21" s="39">
        <v>45342.0</v>
      </c>
      <c r="O21" s="40">
        <f t="shared" si="3"/>
        <v>47.7</v>
      </c>
      <c r="P21" s="5">
        <f t="shared" si="4"/>
        <v>1988.19</v>
      </c>
      <c r="Q21" s="5">
        <f t="shared" si="2"/>
        <v>99.4095</v>
      </c>
    </row>
    <row r="22">
      <c r="A22" s="39">
        <v>45330.0</v>
      </c>
      <c r="B22" s="4" t="s">
        <v>127</v>
      </c>
      <c r="C22" s="21">
        <v>5.6</v>
      </c>
      <c r="E22" s="19"/>
      <c r="F22" s="5"/>
      <c r="H22" s="19"/>
      <c r="N22" s="39">
        <v>45343.0</v>
      </c>
      <c r="O22" s="40">
        <f t="shared" si="3"/>
        <v>29.16</v>
      </c>
      <c r="P22" s="5">
        <f t="shared" si="4"/>
        <v>2017.35</v>
      </c>
      <c r="Q22" s="5">
        <f t="shared" si="2"/>
        <v>96.06428571</v>
      </c>
    </row>
    <row r="23">
      <c r="A23" s="39">
        <v>45331.0</v>
      </c>
      <c r="B23" s="4" t="s">
        <v>140</v>
      </c>
      <c r="C23" s="21">
        <v>9.34</v>
      </c>
      <c r="E23" s="19"/>
      <c r="F23" s="5"/>
      <c r="H23" s="19"/>
      <c r="N23" s="39">
        <v>45344.0</v>
      </c>
      <c r="O23" s="40">
        <f t="shared" si="3"/>
        <v>22.56</v>
      </c>
      <c r="P23" s="5">
        <f t="shared" si="4"/>
        <v>2039.91</v>
      </c>
      <c r="Q23" s="5">
        <f t="shared" si="2"/>
        <v>92.72318182</v>
      </c>
    </row>
    <row r="24">
      <c r="A24" s="39">
        <v>45332.0</v>
      </c>
      <c r="B24" s="4" t="s">
        <v>110</v>
      </c>
      <c r="C24" s="21">
        <v>15.0</v>
      </c>
      <c r="E24" s="19"/>
      <c r="F24" s="5"/>
      <c r="H24" s="19"/>
      <c r="N24" s="39">
        <v>45345.0</v>
      </c>
      <c r="O24" s="40">
        <f t="shared" si="3"/>
        <v>53.98</v>
      </c>
      <c r="P24" s="5">
        <f t="shared" si="4"/>
        <v>2093.89</v>
      </c>
      <c r="Q24" s="5">
        <f t="shared" si="2"/>
        <v>91.03869565</v>
      </c>
    </row>
    <row r="25">
      <c r="A25" s="39">
        <v>45332.0</v>
      </c>
      <c r="B25" s="4" t="s">
        <v>127</v>
      </c>
      <c r="C25" s="21">
        <v>1.75</v>
      </c>
      <c r="E25" s="19"/>
      <c r="F25" s="5"/>
      <c r="H25" s="19"/>
      <c r="N25" s="39">
        <v>45346.0</v>
      </c>
      <c r="O25" s="40">
        <f t="shared" si="3"/>
        <v>54.75</v>
      </c>
      <c r="P25" s="5">
        <f t="shared" si="4"/>
        <v>2148.64</v>
      </c>
      <c r="Q25" s="5">
        <f t="shared" si="2"/>
        <v>89.52666667</v>
      </c>
    </row>
    <row r="26">
      <c r="A26" s="39">
        <v>45332.0</v>
      </c>
      <c r="B26" s="4" t="s">
        <v>384</v>
      </c>
      <c r="C26" s="4">
        <v>43.09</v>
      </c>
      <c r="E26" s="19"/>
      <c r="F26" s="5"/>
      <c r="H26" s="19"/>
      <c r="N26" s="39">
        <v>45347.0</v>
      </c>
      <c r="O26" s="40">
        <f t="shared" si="3"/>
        <v>0</v>
      </c>
      <c r="P26" s="5">
        <f t="shared" si="4"/>
        <v>2148.64</v>
      </c>
      <c r="Q26" s="5">
        <f t="shared" si="2"/>
        <v>85.9456</v>
      </c>
    </row>
    <row r="27">
      <c r="A27" s="39">
        <v>45332.0</v>
      </c>
      <c r="B27" s="4" t="s">
        <v>45</v>
      </c>
      <c r="C27" s="21">
        <v>10.25</v>
      </c>
      <c r="E27" s="19"/>
      <c r="F27" s="5"/>
      <c r="H27" s="19"/>
      <c r="N27" s="39">
        <v>45348.0</v>
      </c>
      <c r="O27" s="40">
        <f t="shared" si="3"/>
        <v>68.38</v>
      </c>
      <c r="P27" s="5">
        <f t="shared" si="4"/>
        <v>2217.02</v>
      </c>
      <c r="Q27" s="5">
        <f t="shared" si="2"/>
        <v>85.27</v>
      </c>
    </row>
    <row r="28">
      <c r="A28" s="39">
        <v>45332.0</v>
      </c>
      <c r="B28" s="4" t="s">
        <v>47</v>
      </c>
      <c r="C28" s="21">
        <v>9.33</v>
      </c>
      <c r="E28" s="19"/>
      <c r="F28" s="5"/>
      <c r="H28" s="19"/>
      <c r="N28" s="39">
        <v>45349.0</v>
      </c>
      <c r="O28" s="40">
        <f t="shared" si="3"/>
        <v>13.92</v>
      </c>
      <c r="P28" s="5">
        <f t="shared" si="4"/>
        <v>2230.94</v>
      </c>
      <c r="Q28" s="5">
        <f t="shared" si="2"/>
        <v>82.62740741</v>
      </c>
    </row>
    <row r="29">
      <c r="A29" s="39">
        <v>45332.0</v>
      </c>
      <c r="B29" s="4" t="s">
        <v>372</v>
      </c>
      <c r="C29" s="21">
        <v>0.99</v>
      </c>
      <c r="E29" s="19"/>
      <c r="F29" s="5"/>
      <c r="H29" s="19"/>
      <c r="N29" s="39">
        <v>45350.0</v>
      </c>
      <c r="O29" s="40">
        <f t="shared" si="3"/>
        <v>1.6</v>
      </c>
      <c r="P29" s="5">
        <f t="shared" si="4"/>
        <v>2232.54</v>
      </c>
      <c r="Q29" s="5">
        <f t="shared" si="2"/>
        <v>79.73357143</v>
      </c>
    </row>
    <row r="30">
      <c r="A30" s="39">
        <v>45333.0</v>
      </c>
      <c r="B30" s="4" t="s">
        <v>140</v>
      </c>
      <c r="C30" s="21">
        <f>3.5+15+3.4</f>
        <v>21.9</v>
      </c>
      <c r="E30" s="19"/>
      <c r="F30" s="5"/>
      <c r="H30" s="19"/>
      <c r="N30" s="39">
        <v>45351.0</v>
      </c>
      <c r="O30" s="40">
        <f t="shared" si="3"/>
        <v>56.58</v>
      </c>
      <c r="P30" s="5">
        <f t="shared" si="4"/>
        <v>2289.12</v>
      </c>
      <c r="Q30" s="5">
        <f t="shared" si="2"/>
        <v>78.93517241</v>
      </c>
    </row>
    <row r="31">
      <c r="A31" s="39">
        <v>45333.0</v>
      </c>
      <c r="B31" s="4" t="s">
        <v>73</v>
      </c>
      <c r="C31" s="21">
        <v>7.85</v>
      </c>
      <c r="E31" s="19"/>
      <c r="F31" s="5"/>
      <c r="H31" s="19"/>
      <c r="N31" s="39"/>
      <c r="Q31" s="5"/>
    </row>
    <row r="32">
      <c r="A32" s="39">
        <v>45333.0</v>
      </c>
      <c r="B32" s="4" t="s">
        <v>385</v>
      </c>
      <c r="C32" s="21">
        <v>12.0</v>
      </c>
      <c r="E32" s="19"/>
      <c r="F32" s="5"/>
      <c r="H32" s="19"/>
      <c r="N32" s="39"/>
      <c r="Q32" s="5"/>
    </row>
    <row r="33">
      <c r="A33" s="39">
        <v>45334.0</v>
      </c>
      <c r="B33" s="4" t="s">
        <v>59</v>
      </c>
      <c r="C33" s="21">
        <v>28.95</v>
      </c>
      <c r="E33" s="19"/>
      <c r="F33" s="5"/>
      <c r="H33" s="19"/>
      <c r="N33" s="39"/>
      <c r="Q33" s="5"/>
    </row>
    <row r="34">
      <c r="A34" s="39">
        <v>45334.0</v>
      </c>
      <c r="B34" s="4" t="s">
        <v>64</v>
      </c>
      <c r="C34" s="21">
        <v>27.5</v>
      </c>
      <c r="E34" s="19"/>
      <c r="F34" s="5"/>
      <c r="H34" s="19"/>
      <c r="Q34" s="5"/>
    </row>
    <row r="35">
      <c r="A35" s="39">
        <v>45334.0</v>
      </c>
      <c r="B35" s="4" t="s">
        <v>127</v>
      </c>
      <c r="C35" s="21">
        <v>3.6</v>
      </c>
      <c r="E35" s="19"/>
      <c r="F35" s="5"/>
      <c r="H35" s="19"/>
      <c r="Q35" s="5"/>
    </row>
    <row r="36">
      <c r="A36" s="39">
        <v>45335.0</v>
      </c>
      <c r="B36" s="4" t="s">
        <v>64</v>
      </c>
      <c r="C36" s="21">
        <v>24.32</v>
      </c>
      <c r="E36" s="19"/>
      <c r="F36" s="5"/>
      <c r="H36" s="19"/>
      <c r="Q36" s="5"/>
    </row>
    <row r="37">
      <c r="A37" s="39">
        <v>45335.0</v>
      </c>
      <c r="B37" s="4" t="s">
        <v>230</v>
      </c>
      <c r="C37" s="21">
        <v>8.0</v>
      </c>
      <c r="E37" s="19"/>
      <c r="F37" s="5"/>
      <c r="H37" s="19"/>
      <c r="Q37" s="5"/>
    </row>
    <row r="38">
      <c r="A38" s="39">
        <v>45335.0</v>
      </c>
      <c r="B38" s="4" t="s">
        <v>53</v>
      </c>
      <c r="C38" s="21">
        <v>12.34</v>
      </c>
      <c r="E38" s="19"/>
      <c r="F38" s="5"/>
      <c r="H38" s="19"/>
      <c r="Q38" s="5"/>
    </row>
    <row r="39">
      <c r="A39" s="39">
        <v>45335.0</v>
      </c>
      <c r="B39" s="4" t="s">
        <v>386</v>
      </c>
      <c r="C39" s="21">
        <v>129.99</v>
      </c>
      <c r="E39" s="19"/>
      <c r="F39" s="5"/>
      <c r="H39" s="19"/>
      <c r="Q39" s="5"/>
    </row>
    <row r="40">
      <c r="A40" s="39">
        <v>45336.0</v>
      </c>
      <c r="B40" s="4" t="s">
        <v>47</v>
      </c>
      <c r="C40" s="21">
        <v>6.8</v>
      </c>
      <c r="E40" s="19"/>
      <c r="F40" s="5"/>
      <c r="H40" s="19"/>
      <c r="Q40" s="5"/>
    </row>
    <row r="41">
      <c r="A41" s="39">
        <v>45337.0</v>
      </c>
      <c r="B41" s="4" t="s">
        <v>62</v>
      </c>
      <c r="C41" s="21">
        <v>2.3</v>
      </c>
      <c r="E41" s="19"/>
      <c r="F41" s="5"/>
      <c r="H41" s="19"/>
      <c r="Q41" s="5"/>
    </row>
    <row r="42">
      <c r="A42" s="39">
        <v>45337.0</v>
      </c>
      <c r="B42" s="4" t="s">
        <v>76</v>
      </c>
      <c r="C42" s="21">
        <v>3.8</v>
      </c>
      <c r="E42" s="19"/>
      <c r="F42" s="5"/>
      <c r="H42" s="19"/>
      <c r="Q42" s="5"/>
    </row>
    <row r="43">
      <c r="A43" s="39">
        <v>45337.0</v>
      </c>
      <c r="B43" s="4" t="s">
        <v>73</v>
      </c>
      <c r="C43" s="21">
        <v>8.85</v>
      </c>
      <c r="E43" s="19"/>
      <c r="F43" s="5"/>
      <c r="H43" s="19"/>
      <c r="Q43" s="5"/>
    </row>
    <row r="44">
      <c r="A44" s="39">
        <v>45339.0</v>
      </c>
      <c r="B44" s="4" t="s">
        <v>47</v>
      </c>
      <c r="C44" s="21">
        <v>9.0</v>
      </c>
      <c r="E44" s="19"/>
      <c r="F44" s="5"/>
      <c r="H44" s="19"/>
      <c r="Q44" s="5"/>
    </row>
    <row r="45">
      <c r="A45" s="39">
        <v>45339.0</v>
      </c>
      <c r="B45" s="4" t="s">
        <v>387</v>
      </c>
      <c r="C45" s="21">
        <v>45.0</v>
      </c>
      <c r="E45" s="19"/>
      <c r="F45" s="5"/>
      <c r="H45" s="19"/>
      <c r="Q45" s="5"/>
    </row>
    <row r="46">
      <c r="A46" s="39">
        <v>45339.0</v>
      </c>
      <c r="B46" s="4" t="s">
        <v>45</v>
      </c>
      <c r="C46" s="21">
        <v>6.85</v>
      </c>
      <c r="E46" s="19"/>
      <c r="F46" s="5"/>
      <c r="H46" s="19"/>
      <c r="Q46" s="5"/>
    </row>
    <row r="47">
      <c r="A47" s="39">
        <v>45340.0</v>
      </c>
      <c r="B47" s="4" t="s">
        <v>52</v>
      </c>
      <c r="C47" s="21">
        <v>13.46</v>
      </c>
      <c r="E47" s="19"/>
      <c r="F47" s="5"/>
      <c r="H47" s="19"/>
      <c r="Q47" s="5"/>
    </row>
    <row r="48">
      <c r="A48" s="39">
        <v>45340.0</v>
      </c>
      <c r="B48" s="4" t="s">
        <v>388</v>
      </c>
      <c r="C48" s="21">
        <v>30.0</v>
      </c>
      <c r="E48" s="19"/>
      <c r="F48" s="5"/>
      <c r="H48" s="19"/>
      <c r="Q48" s="5"/>
    </row>
    <row r="49">
      <c r="A49" s="39">
        <v>45340.0</v>
      </c>
      <c r="B49" s="4" t="s">
        <v>230</v>
      </c>
      <c r="C49" s="21">
        <v>9.91</v>
      </c>
      <c r="E49" s="19"/>
      <c r="F49" s="5"/>
      <c r="H49" s="19"/>
      <c r="Q49" s="5"/>
    </row>
    <row r="50">
      <c r="A50" s="39">
        <v>45341.0</v>
      </c>
      <c r="B50" s="4" t="s">
        <v>64</v>
      </c>
      <c r="C50" s="21">
        <v>21.57</v>
      </c>
      <c r="E50" s="19"/>
      <c r="F50" s="5"/>
      <c r="H50" s="19"/>
      <c r="Q50" s="5"/>
    </row>
    <row r="51">
      <c r="A51" s="39">
        <v>45341.0</v>
      </c>
      <c r="B51" s="4" t="s">
        <v>140</v>
      </c>
      <c r="C51" s="21">
        <v>3.5</v>
      </c>
      <c r="E51" s="19"/>
      <c r="F51" s="5"/>
      <c r="H51" s="19"/>
      <c r="Q51" s="5"/>
    </row>
    <row r="52">
      <c r="A52" s="39">
        <v>45341.0</v>
      </c>
      <c r="B52" s="4" t="s">
        <v>47</v>
      </c>
      <c r="C52" s="21">
        <v>6.65</v>
      </c>
      <c r="E52" s="19"/>
      <c r="F52" s="5"/>
      <c r="H52" s="19"/>
      <c r="Q52" s="5"/>
    </row>
    <row r="53">
      <c r="A53" s="39">
        <v>45342.0</v>
      </c>
      <c r="B53" s="4" t="s">
        <v>45</v>
      </c>
      <c r="C53" s="21">
        <v>17.2</v>
      </c>
      <c r="E53" s="19"/>
      <c r="F53" s="5"/>
      <c r="H53" s="19"/>
      <c r="Q53" s="5"/>
    </row>
    <row r="54">
      <c r="A54" s="39">
        <v>45342.0</v>
      </c>
      <c r="B54" s="4" t="s">
        <v>210</v>
      </c>
      <c r="C54" s="21">
        <v>15.0</v>
      </c>
      <c r="E54" s="19"/>
      <c r="F54" s="5"/>
      <c r="H54" s="19"/>
      <c r="Q54" s="5"/>
    </row>
    <row r="55">
      <c r="A55" s="39">
        <v>45342.0</v>
      </c>
      <c r="B55" s="4" t="s">
        <v>62</v>
      </c>
      <c r="C55" s="21">
        <v>1.15</v>
      </c>
      <c r="E55" s="19"/>
      <c r="F55" s="5"/>
      <c r="H55" s="19"/>
      <c r="Q55" s="5"/>
    </row>
    <row r="56">
      <c r="A56" s="39">
        <v>45342.0</v>
      </c>
      <c r="B56" s="4" t="s">
        <v>62</v>
      </c>
      <c r="C56" s="21">
        <v>4.35</v>
      </c>
      <c r="E56" s="19"/>
      <c r="F56" s="5"/>
      <c r="H56" s="19"/>
      <c r="Q56" s="5"/>
    </row>
    <row r="57">
      <c r="A57" s="39">
        <v>45342.0</v>
      </c>
      <c r="B57" s="4" t="s">
        <v>140</v>
      </c>
      <c r="C57" s="21">
        <v>10.0</v>
      </c>
      <c r="E57" s="19"/>
      <c r="F57" s="5"/>
      <c r="H57" s="19"/>
      <c r="Q57" s="5"/>
    </row>
    <row r="58">
      <c r="A58" s="39">
        <v>45343.0</v>
      </c>
      <c r="B58" s="4" t="s">
        <v>127</v>
      </c>
      <c r="C58" s="21">
        <v>8.1</v>
      </c>
      <c r="E58" s="19"/>
      <c r="F58" s="5"/>
      <c r="H58" s="19"/>
      <c r="Q58" s="5"/>
    </row>
    <row r="59">
      <c r="A59" s="39">
        <v>45343.0</v>
      </c>
      <c r="B59" s="4" t="s">
        <v>230</v>
      </c>
      <c r="C59" s="21">
        <v>11.51</v>
      </c>
      <c r="E59" s="19"/>
      <c r="F59" s="5"/>
      <c r="H59" s="19"/>
      <c r="Q59" s="5"/>
    </row>
    <row r="60">
      <c r="A60" s="39">
        <v>45343.0</v>
      </c>
      <c r="B60" s="4" t="s">
        <v>389</v>
      </c>
      <c r="C60" s="21">
        <v>9.55</v>
      </c>
      <c r="E60" s="19"/>
      <c r="F60" s="5"/>
      <c r="H60" s="19"/>
      <c r="Q60" s="5"/>
    </row>
    <row r="61">
      <c r="A61" s="39">
        <v>45344.0</v>
      </c>
      <c r="B61" s="4" t="s">
        <v>164</v>
      </c>
      <c r="C61" s="21">
        <v>5.99</v>
      </c>
      <c r="E61" s="19"/>
      <c r="F61" s="5"/>
      <c r="H61" s="19"/>
      <c r="Q61" s="5"/>
    </row>
    <row r="62">
      <c r="A62" s="39">
        <v>45344.0</v>
      </c>
      <c r="B62" s="4" t="s">
        <v>52</v>
      </c>
      <c r="C62" s="21">
        <v>16.57</v>
      </c>
      <c r="E62" s="19"/>
      <c r="F62" s="5"/>
      <c r="H62" s="19"/>
      <c r="Q62" s="5"/>
    </row>
    <row r="63">
      <c r="A63" s="39">
        <v>45345.0</v>
      </c>
      <c r="B63" s="4" t="s">
        <v>45</v>
      </c>
      <c r="C63" s="21">
        <f>6.5+6+8.59</f>
        <v>21.09</v>
      </c>
      <c r="E63" s="19"/>
      <c r="F63" s="5"/>
      <c r="H63" s="19"/>
      <c r="Q63" s="5"/>
    </row>
    <row r="64">
      <c r="A64" s="39">
        <v>45345.0</v>
      </c>
      <c r="B64" s="4" t="s">
        <v>210</v>
      </c>
      <c r="C64" s="43">
        <v>5.89</v>
      </c>
      <c r="E64" s="19"/>
      <c r="F64" s="5"/>
      <c r="H64" s="19"/>
      <c r="Q64" s="5"/>
    </row>
    <row r="65">
      <c r="A65" s="39">
        <v>45345.0</v>
      </c>
      <c r="B65" s="4" t="s">
        <v>390</v>
      </c>
      <c r="C65" s="21">
        <v>7.0</v>
      </c>
      <c r="E65" s="19"/>
      <c r="F65" s="5"/>
      <c r="H65" s="19"/>
      <c r="Q65" s="5"/>
    </row>
    <row r="66">
      <c r="A66" s="39">
        <v>45345.0</v>
      </c>
      <c r="B66" s="4" t="s">
        <v>164</v>
      </c>
      <c r="C66" s="21">
        <v>20.0</v>
      </c>
      <c r="E66" s="19"/>
      <c r="F66" s="5"/>
      <c r="H66" s="19"/>
      <c r="Q66" s="5"/>
    </row>
    <row r="67">
      <c r="A67" s="39">
        <v>45346.0</v>
      </c>
      <c r="B67" s="4" t="s">
        <v>391</v>
      </c>
      <c r="C67" s="21">
        <v>7.0</v>
      </c>
      <c r="E67" s="19"/>
      <c r="F67" s="5"/>
      <c r="H67" s="19"/>
      <c r="Q67" s="5"/>
    </row>
    <row r="68">
      <c r="A68" s="39">
        <v>45346.0</v>
      </c>
      <c r="B68" s="4" t="s">
        <v>127</v>
      </c>
      <c r="C68" s="21">
        <v>3.8</v>
      </c>
      <c r="E68" s="19"/>
      <c r="F68" s="5"/>
      <c r="H68" s="19"/>
      <c r="Q68" s="5"/>
    </row>
    <row r="69">
      <c r="A69" s="39">
        <v>45346.0</v>
      </c>
      <c r="B69" s="4" t="s">
        <v>73</v>
      </c>
      <c r="C69" s="21">
        <f>15.95+6.84</f>
        <v>22.79</v>
      </c>
      <c r="E69" s="19"/>
      <c r="F69" s="5"/>
      <c r="H69" s="19"/>
      <c r="Q69" s="5"/>
    </row>
    <row r="70">
      <c r="A70" s="39">
        <v>45346.0</v>
      </c>
      <c r="B70" s="4" t="s">
        <v>52</v>
      </c>
      <c r="C70" s="21">
        <f>7.87+13.29</f>
        <v>21.16</v>
      </c>
      <c r="E70" s="19"/>
      <c r="F70" s="5"/>
      <c r="H70" s="19"/>
      <c r="Q70" s="5"/>
    </row>
    <row r="71">
      <c r="A71" s="39">
        <v>45348.0</v>
      </c>
      <c r="B71" s="4" t="s">
        <v>253</v>
      </c>
      <c r="C71" s="21">
        <v>28.99</v>
      </c>
      <c r="E71" s="19"/>
      <c r="F71" s="5"/>
      <c r="H71" s="19"/>
      <c r="Q71" s="5"/>
    </row>
    <row r="72">
      <c r="A72" s="39">
        <v>45348.0</v>
      </c>
      <c r="B72" s="4" t="s">
        <v>59</v>
      </c>
      <c r="C72" s="21">
        <v>39.39</v>
      </c>
      <c r="E72" s="19"/>
      <c r="F72" s="5"/>
      <c r="H72" s="19"/>
      <c r="Q72" s="5"/>
    </row>
    <row r="73">
      <c r="A73" s="39">
        <v>45349.0</v>
      </c>
      <c r="B73" s="4" t="s">
        <v>47</v>
      </c>
      <c r="C73" s="21">
        <v>13.92</v>
      </c>
      <c r="E73" s="19"/>
      <c r="F73" s="5"/>
      <c r="H73" s="19"/>
      <c r="Q73" s="5"/>
    </row>
    <row r="74">
      <c r="A74" s="39">
        <v>45350.0</v>
      </c>
      <c r="B74" s="4" t="s">
        <v>47</v>
      </c>
      <c r="C74" s="21">
        <v>1.6</v>
      </c>
      <c r="E74" s="19"/>
      <c r="F74" s="5"/>
      <c r="H74" s="19"/>
      <c r="Q74" s="5"/>
    </row>
    <row r="75">
      <c r="A75" s="39">
        <v>45351.0</v>
      </c>
      <c r="B75" s="4" t="s">
        <v>140</v>
      </c>
      <c r="C75" s="21">
        <v>9.6</v>
      </c>
      <c r="E75" s="19"/>
      <c r="F75" s="5"/>
      <c r="H75" s="19"/>
      <c r="Q75" s="5"/>
    </row>
    <row r="76">
      <c r="A76" s="39">
        <v>45351.0</v>
      </c>
      <c r="B76" s="4" t="s">
        <v>127</v>
      </c>
      <c r="C76" s="21">
        <v>4.0</v>
      </c>
      <c r="E76" s="19"/>
      <c r="F76" s="5"/>
      <c r="H76" s="19"/>
      <c r="Q76" s="5"/>
    </row>
    <row r="77">
      <c r="A77" s="39">
        <v>45351.0</v>
      </c>
      <c r="B77" s="4" t="s">
        <v>107</v>
      </c>
      <c r="C77" s="21">
        <v>30.0</v>
      </c>
      <c r="E77" s="19"/>
      <c r="F77" s="5"/>
      <c r="H77" s="19"/>
      <c r="Q77" s="5"/>
    </row>
    <row r="78">
      <c r="A78" s="39">
        <v>45351.0</v>
      </c>
      <c r="B78" s="4" t="s">
        <v>62</v>
      </c>
      <c r="C78" s="21">
        <v>2.25</v>
      </c>
      <c r="E78" s="19"/>
      <c r="F78" s="5"/>
      <c r="H78" s="19"/>
      <c r="Q78" s="5"/>
    </row>
    <row r="79">
      <c r="A79" s="39">
        <v>45351.0</v>
      </c>
      <c r="B79" s="4" t="s">
        <v>230</v>
      </c>
      <c r="C79" s="4">
        <v>6.98</v>
      </c>
      <c r="E79" s="19"/>
      <c r="F79" s="5"/>
      <c r="H79" s="19"/>
      <c r="Q79" s="5"/>
    </row>
    <row r="80">
      <c r="A80" s="39">
        <v>45351.0</v>
      </c>
      <c r="B80" s="4" t="s">
        <v>56</v>
      </c>
      <c r="C80" s="21">
        <v>3.75</v>
      </c>
      <c r="E80" s="19"/>
      <c r="F80" s="5"/>
      <c r="H80" s="19"/>
      <c r="Q80" s="5"/>
    </row>
    <row r="81">
      <c r="A81" s="39"/>
      <c r="C81" s="21"/>
      <c r="E81" s="19"/>
      <c r="F81" s="5"/>
      <c r="H81" s="19"/>
      <c r="Q81" s="5"/>
    </row>
    <row r="82">
      <c r="A82" s="39"/>
      <c r="C82" s="21"/>
      <c r="E82" s="19"/>
      <c r="F82" s="5"/>
      <c r="H82" s="19"/>
      <c r="Q82" s="5"/>
    </row>
    <row r="83">
      <c r="A83" s="39"/>
      <c r="C83" s="21"/>
      <c r="E83" s="19"/>
      <c r="F83" s="5"/>
      <c r="H83" s="19"/>
      <c r="Q83" s="5"/>
    </row>
    <row r="84">
      <c r="A84" s="39"/>
      <c r="C84" s="21"/>
      <c r="E84" s="19"/>
      <c r="F84" s="5"/>
      <c r="H84" s="19"/>
      <c r="Q84" s="5"/>
    </row>
    <row r="85">
      <c r="A85" s="39"/>
      <c r="C85" s="21"/>
      <c r="E85" s="19"/>
      <c r="F85" s="5"/>
      <c r="H85" s="19"/>
      <c r="Q85" s="5"/>
    </row>
    <row r="86">
      <c r="A86" s="39"/>
      <c r="C86" s="21"/>
      <c r="E86" s="19"/>
      <c r="F86" s="5"/>
      <c r="H86" s="19"/>
      <c r="Q86" s="5"/>
    </row>
    <row r="87">
      <c r="A87" s="39"/>
      <c r="C87" s="21"/>
      <c r="E87" s="19"/>
      <c r="F87" s="5"/>
      <c r="H87" s="19"/>
      <c r="Q87" s="5"/>
    </row>
    <row r="88">
      <c r="A88" s="39"/>
      <c r="C88" s="21"/>
      <c r="E88" s="19"/>
      <c r="F88" s="5"/>
      <c r="H88" s="19"/>
      <c r="Q88" s="5"/>
    </row>
    <row r="89">
      <c r="A89" s="39"/>
      <c r="C89" s="21"/>
      <c r="E89" s="19"/>
      <c r="F89" s="5"/>
      <c r="H89" s="19"/>
      <c r="Q89" s="5"/>
    </row>
    <row r="90">
      <c r="A90" s="39"/>
      <c r="C90" s="21"/>
      <c r="E90" s="19"/>
      <c r="F90" s="5"/>
      <c r="H90" s="19"/>
      <c r="Q90" s="5"/>
    </row>
    <row r="91">
      <c r="A91" s="39"/>
      <c r="C91" s="21"/>
      <c r="E91" s="19"/>
      <c r="F91" s="5"/>
      <c r="H91" s="19"/>
      <c r="Q91" s="5"/>
    </row>
    <row r="92">
      <c r="A92" s="39"/>
      <c r="C92" s="21"/>
      <c r="E92" s="19"/>
      <c r="F92" s="5"/>
      <c r="H92" s="19"/>
      <c r="Q92" s="5"/>
    </row>
    <row r="93">
      <c r="A93" s="39"/>
      <c r="C93" s="21"/>
      <c r="E93" s="19"/>
      <c r="F93" s="5"/>
      <c r="H93" s="19"/>
      <c r="Q93" s="5"/>
    </row>
    <row r="94">
      <c r="A94" s="39"/>
      <c r="C94" s="21"/>
      <c r="E94" s="19"/>
      <c r="F94" s="5"/>
      <c r="H94" s="19"/>
      <c r="Q94" s="5"/>
    </row>
    <row r="95">
      <c r="A95" s="39"/>
      <c r="C95" s="21"/>
      <c r="E95" s="19"/>
      <c r="F95" s="5"/>
      <c r="H95" s="19"/>
      <c r="Q95" s="5"/>
    </row>
    <row r="96">
      <c r="A96" s="39"/>
      <c r="C96" s="21"/>
      <c r="E96" s="19"/>
      <c r="F96" s="5"/>
      <c r="H96" s="19"/>
      <c r="Q96" s="5"/>
    </row>
    <row r="97">
      <c r="A97" s="39"/>
      <c r="C97" s="21"/>
      <c r="E97" s="19"/>
      <c r="F97" s="5"/>
      <c r="H97" s="19"/>
      <c r="Q97" s="5"/>
    </row>
    <row r="98">
      <c r="A98" s="39"/>
      <c r="C98" s="21"/>
      <c r="E98" s="19"/>
      <c r="F98" s="5"/>
      <c r="H98" s="19"/>
      <c r="Q98" s="5"/>
    </row>
    <row r="99">
      <c r="A99" s="39"/>
      <c r="C99" s="21"/>
      <c r="E99" s="19"/>
      <c r="F99" s="5"/>
      <c r="H99" s="19"/>
      <c r="Q99" s="5"/>
    </row>
    <row r="100">
      <c r="A100" s="39"/>
      <c r="C100" s="21"/>
      <c r="E100" s="19"/>
      <c r="F100" s="5"/>
      <c r="H100" s="19"/>
      <c r="Q100" s="5"/>
    </row>
    <row r="101">
      <c r="A101" s="44"/>
      <c r="C101" s="5"/>
      <c r="E101" s="19"/>
      <c r="F101" s="5"/>
      <c r="H101" s="19"/>
      <c r="Q101" s="5"/>
    </row>
    <row r="102">
      <c r="A102" s="44"/>
      <c r="C102" s="5"/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44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O1:O1000 Q1:Q1000">
    <cfRule type="cellIs" dxfId="0" priority="1" operator="lessThan">
      <formula>20</formula>
    </cfRule>
  </conditionalFormatting>
  <conditionalFormatting sqref="O1:O1000 Q1:Q1000">
    <cfRule type="cellIs" dxfId="6" priority="2" operator="lessThan">
      <formula>30</formula>
    </cfRule>
  </conditionalFormatting>
  <conditionalFormatting sqref="O1:O1000 Q1:Q1000">
    <cfRule type="cellIs" dxfId="1" priority="3" operator="greaterThanOrEqual">
      <formula>30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0">
    <cfRule type="cellIs" dxfId="3" priority="6" operator="greaterThan">
      <formula>0</formula>
    </cfRule>
  </conditionalFormatting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</cols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187.98</v>
      </c>
      <c r="H1" s="1" t="s">
        <v>46</v>
      </c>
      <c r="I1" s="5">
        <f>I6-I7</f>
        <v>-1168.71</v>
      </c>
      <c r="J1" s="19"/>
      <c r="K1" s="1" t="s">
        <v>47</v>
      </c>
      <c r="L1" s="5">
        <f t="shared" ref="L1:L4" si="1">SUMIF(B:B,K1,C:I)</f>
        <v>71.74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45292.0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27.75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39.43</v>
      </c>
      <c r="N2" s="39">
        <v>45292.0</v>
      </c>
      <c r="O2" s="5">
        <f>sumif(A:A,N2,C:C)-sum(C2:C5)-F15+C74</f>
        <v>-41.29</v>
      </c>
      <c r="P2" s="5">
        <f>SUM(O2)</f>
        <v>-41.29</v>
      </c>
      <c r="Q2" s="5">
        <f t="shared" ref="Q2:Q32" si="2">P2/(ROW()-1)</f>
        <v>-41.29</v>
      </c>
    </row>
    <row r="3">
      <c r="A3" s="39">
        <v>45292.0</v>
      </c>
      <c r="B3" s="4" t="s">
        <v>54</v>
      </c>
      <c r="C3" s="41">
        <v>1105.0</v>
      </c>
      <c r="E3" s="1" t="s">
        <v>209</v>
      </c>
      <c r="F3" s="5">
        <f>SUMIF(B:B,"Pret",C:C)+SUMIF(B:B,"Breakfast",C:C)</f>
        <v>0</v>
      </c>
      <c r="H3" s="1" t="s">
        <v>8</v>
      </c>
      <c r="I3" s="5">
        <f>SUMIF(B:B,H3,C:C)+I1</f>
        <v>-918.71</v>
      </c>
      <c r="K3" s="1" t="s">
        <v>56</v>
      </c>
      <c r="L3" s="5">
        <f t="shared" si="1"/>
        <v>0</v>
      </c>
      <c r="N3" s="39">
        <v>45293.0</v>
      </c>
      <c r="O3" s="40">
        <f t="shared" ref="O3:O22" si="3">sumif(A:A,N3,C:C)</f>
        <v>61.69</v>
      </c>
      <c r="P3" s="5">
        <f t="shared" ref="P3:P32" si="4">P2+O3</f>
        <v>20.4</v>
      </c>
      <c r="Q3" s="5">
        <f t="shared" si="2"/>
        <v>10.2</v>
      </c>
    </row>
    <row r="4">
      <c r="A4" s="39">
        <v>45292.0</v>
      </c>
      <c r="B4" s="4" t="s">
        <v>6</v>
      </c>
      <c r="C4" s="21">
        <v>250.0</v>
      </c>
      <c r="E4" s="1" t="s">
        <v>140</v>
      </c>
      <c r="F4" s="5">
        <f>SUMIF(B:B,E4,C:C)</f>
        <v>43.83</v>
      </c>
      <c r="H4" s="1" t="s">
        <v>58</v>
      </c>
      <c r="I4" s="5">
        <f>I2+I3</f>
        <v>-668.71</v>
      </c>
      <c r="K4" s="1" t="s">
        <v>59</v>
      </c>
      <c r="L4" s="5">
        <f t="shared" si="1"/>
        <v>57.85</v>
      </c>
      <c r="N4" s="39">
        <v>45294.0</v>
      </c>
      <c r="O4" s="40">
        <f t="shared" si="3"/>
        <v>15.11</v>
      </c>
      <c r="P4" s="5">
        <f t="shared" si="4"/>
        <v>35.51</v>
      </c>
      <c r="Q4" s="5">
        <f t="shared" si="2"/>
        <v>11.83666667</v>
      </c>
    </row>
    <row r="5">
      <c r="A5" s="39">
        <v>45292.0</v>
      </c>
      <c r="B5" s="4" t="s">
        <v>252</v>
      </c>
      <c r="C5" s="21">
        <v>40.81</v>
      </c>
      <c r="E5" s="1" t="s">
        <v>57</v>
      </c>
      <c r="F5" s="5">
        <f>sum(L:L)</f>
        <v>169.02</v>
      </c>
      <c r="N5" s="39">
        <v>45295.0</v>
      </c>
      <c r="O5" s="40">
        <f t="shared" si="3"/>
        <v>16.99</v>
      </c>
      <c r="P5" s="5">
        <f t="shared" si="4"/>
        <v>52.5</v>
      </c>
      <c r="Q5" s="5">
        <f t="shared" si="2"/>
        <v>13.125</v>
      </c>
    </row>
    <row r="6">
      <c r="A6" s="39">
        <v>45292.0</v>
      </c>
      <c r="B6" s="4" t="s">
        <v>392</v>
      </c>
      <c r="C6" s="21">
        <v>140.96</v>
      </c>
      <c r="E6" s="42" t="s">
        <v>61</v>
      </c>
      <c r="F6" s="5">
        <f>SUMIF(B:B,"Games",C:C)+SUMIF(B:B,"Spotify",C:C)+SUMIF(B:B,"Disney+",C:C)+SUMIF(B:B,"Book",C:C)+SUMIF(B:B,"Audible",C:C)</f>
        <v>39.07</v>
      </c>
      <c r="H6" s="1" t="s">
        <v>65</v>
      </c>
      <c r="I6" s="21">
        <v>2616.49</v>
      </c>
      <c r="N6" s="39">
        <v>45296.0</v>
      </c>
      <c r="O6" s="40">
        <f t="shared" si="3"/>
        <v>66.23</v>
      </c>
      <c r="P6" s="5">
        <f t="shared" si="4"/>
        <v>118.73</v>
      </c>
      <c r="Q6" s="5">
        <f t="shared" si="2"/>
        <v>23.746</v>
      </c>
    </row>
    <row r="7">
      <c r="A7" s="39">
        <v>45292.0</v>
      </c>
      <c r="B7" s="4" t="s">
        <v>393</v>
      </c>
      <c r="C7" s="4">
        <v>79.5</v>
      </c>
      <c r="E7" s="1" t="s">
        <v>64</v>
      </c>
      <c r="F7" s="5">
        <f>SUMIF(B:B,E7,C:C)+SUMIF(B:B,"Shoes",C:C)</f>
        <v>116.57</v>
      </c>
      <c r="H7" s="1" t="s">
        <v>68</v>
      </c>
      <c r="I7" s="5">
        <f>sum(C:C)</f>
        <v>3785.2</v>
      </c>
      <c r="N7" s="39">
        <v>45297.0</v>
      </c>
      <c r="O7" s="40">
        <f t="shared" si="3"/>
        <v>36.79</v>
      </c>
      <c r="P7" s="5">
        <f t="shared" si="4"/>
        <v>155.52</v>
      </c>
      <c r="Q7" s="5">
        <f t="shared" si="2"/>
        <v>25.92</v>
      </c>
    </row>
    <row r="8">
      <c r="A8" s="39">
        <v>45292.0</v>
      </c>
      <c r="B8" s="4" t="s">
        <v>394</v>
      </c>
      <c r="C8" s="21">
        <f>3.4+123.52</f>
        <v>126.92</v>
      </c>
      <c r="E8" s="1" t="s">
        <v>54</v>
      </c>
      <c r="F8" s="5">
        <f>SUMIF(B:B,E8,C:C)+SUMIF(B:B,"Phone",C:C)</f>
        <v>1204.81</v>
      </c>
      <c r="H8" s="1" t="s">
        <v>72</v>
      </c>
      <c r="I8" s="5">
        <f>sum(F:F)+I2+C2</f>
        <v>3296.84</v>
      </c>
      <c r="N8" s="39">
        <v>45298.0</v>
      </c>
      <c r="O8" s="40">
        <f t="shared" si="3"/>
        <v>63.95</v>
      </c>
      <c r="P8" s="5">
        <f t="shared" si="4"/>
        <v>219.47</v>
      </c>
      <c r="Q8" s="5">
        <f t="shared" si="2"/>
        <v>31.35285714</v>
      </c>
    </row>
    <row r="9">
      <c r="A9" s="39">
        <v>45292.0</v>
      </c>
      <c r="B9" s="4" t="s">
        <v>395</v>
      </c>
      <c r="C9" s="21">
        <v>267.37</v>
      </c>
      <c r="E9" s="1" t="s">
        <v>127</v>
      </c>
      <c r="F9" s="5">
        <f>SUMIF(B:B,E9,C:C)</f>
        <v>46.7</v>
      </c>
      <c r="H9" s="1" t="s">
        <v>74</v>
      </c>
      <c r="I9" s="5">
        <f>I7-I8</f>
        <v>488.36</v>
      </c>
      <c r="N9" s="39">
        <v>45299.0</v>
      </c>
      <c r="O9" s="40">
        <f t="shared" si="3"/>
        <v>17.8</v>
      </c>
      <c r="P9" s="5">
        <f t="shared" si="4"/>
        <v>237.27</v>
      </c>
      <c r="Q9" s="5">
        <f t="shared" si="2"/>
        <v>29.65875</v>
      </c>
    </row>
    <row r="10">
      <c r="A10" s="39">
        <v>45292.0</v>
      </c>
      <c r="B10" s="4" t="s">
        <v>396</v>
      </c>
      <c r="C10" s="21">
        <v>107.5</v>
      </c>
      <c r="E10" s="1" t="s">
        <v>164</v>
      </c>
      <c r="F10" s="48">
        <f>SUMIF(B:B,"Cigs",C:C) + SUMIF(B:B,"Snus",C:C)</f>
        <v>6.5</v>
      </c>
      <c r="N10" s="39">
        <v>45300.0</v>
      </c>
      <c r="O10" s="40">
        <f t="shared" si="3"/>
        <v>14.25</v>
      </c>
      <c r="P10" s="5">
        <f t="shared" si="4"/>
        <v>251.52</v>
      </c>
      <c r="Q10" s="5">
        <f t="shared" si="2"/>
        <v>27.94666667</v>
      </c>
    </row>
    <row r="11">
      <c r="A11" s="39">
        <v>45293.0</v>
      </c>
      <c r="B11" s="4" t="s">
        <v>140</v>
      </c>
      <c r="C11" s="21">
        <v>5.5</v>
      </c>
      <c r="E11" s="1" t="s">
        <v>73</v>
      </c>
      <c r="F11" s="5">
        <f>SUMIF(B:B,"Uber",C:C)</f>
        <v>66.94</v>
      </c>
      <c r="H11" s="53" t="s">
        <v>3</v>
      </c>
      <c r="I11" s="54">
        <f>I4/I6</f>
        <v>-0.2555752172</v>
      </c>
      <c r="N11" s="39">
        <v>45301.0</v>
      </c>
      <c r="O11" s="40">
        <f t="shared" si="3"/>
        <v>17.2</v>
      </c>
      <c r="P11" s="5">
        <f t="shared" si="4"/>
        <v>268.72</v>
      </c>
      <c r="Q11" s="5">
        <f t="shared" si="2"/>
        <v>26.872</v>
      </c>
    </row>
    <row r="12">
      <c r="A12" s="39">
        <v>45293.0</v>
      </c>
      <c r="B12" s="4" t="s">
        <v>73</v>
      </c>
      <c r="C12" s="21">
        <v>15.1</v>
      </c>
      <c r="E12" s="1" t="s">
        <v>75</v>
      </c>
      <c r="F12" s="40">
        <f>SUMIF(B:B,"Gym",C:C)+SUMIF(B:B,"Climbing",C:C)</f>
        <v>20.29</v>
      </c>
      <c r="N12" s="39">
        <v>45302.0</v>
      </c>
      <c r="O12" s="40">
        <f t="shared" si="3"/>
        <v>27.43</v>
      </c>
      <c r="P12" s="5">
        <f t="shared" si="4"/>
        <v>296.15</v>
      </c>
      <c r="Q12" s="5">
        <f t="shared" si="2"/>
        <v>26.92272727</v>
      </c>
    </row>
    <row r="13">
      <c r="A13" s="39">
        <v>45293.0</v>
      </c>
      <c r="B13" s="4" t="s">
        <v>127</v>
      </c>
      <c r="C13" s="21">
        <v>4.3</v>
      </c>
      <c r="N13" s="39">
        <v>45303.0</v>
      </c>
      <c r="O13" s="40">
        <f t="shared" si="3"/>
        <v>28.7</v>
      </c>
      <c r="P13" s="5">
        <f t="shared" si="4"/>
        <v>324.85</v>
      </c>
      <c r="Q13" s="5">
        <f t="shared" si="2"/>
        <v>27.07083333</v>
      </c>
    </row>
    <row r="14">
      <c r="A14" s="39">
        <v>45293.0</v>
      </c>
      <c r="B14" s="4" t="s">
        <v>76</v>
      </c>
      <c r="C14" s="21">
        <v>5.2</v>
      </c>
      <c r="H14" s="19"/>
      <c r="N14" s="39">
        <v>45304.0</v>
      </c>
      <c r="O14" s="40">
        <f t="shared" si="3"/>
        <v>72.39</v>
      </c>
      <c r="P14" s="5">
        <f t="shared" si="4"/>
        <v>397.24</v>
      </c>
      <c r="Q14" s="5">
        <f t="shared" si="2"/>
        <v>30.55692308</v>
      </c>
    </row>
    <row r="15">
      <c r="A15" s="39">
        <v>45293.0</v>
      </c>
      <c r="B15" s="4" t="s">
        <v>119</v>
      </c>
      <c r="C15" s="21">
        <v>9.99</v>
      </c>
      <c r="E15" s="1" t="s">
        <v>77</v>
      </c>
      <c r="F15" s="5">
        <f>sum(C6:C10)+C74+C81</f>
        <v>867.38</v>
      </c>
      <c r="H15" s="19"/>
      <c r="N15" s="39">
        <v>45305.0</v>
      </c>
      <c r="O15" s="40">
        <f t="shared" si="3"/>
        <v>56.69</v>
      </c>
      <c r="P15" s="5">
        <f t="shared" si="4"/>
        <v>453.93</v>
      </c>
      <c r="Q15" s="5">
        <f t="shared" si="2"/>
        <v>32.42357143</v>
      </c>
    </row>
    <row r="16">
      <c r="A16" s="39">
        <v>45293.0</v>
      </c>
      <c r="B16" s="4" t="s">
        <v>64</v>
      </c>
      <c r="C16" s="21">
        <v>21.6</v>
      </c>
      <c r="E16" s="1"/>
      <c r="H16" s="19"/>
      <c r="N16" s="39">
        <v>45306.0</v>
      </c>
      <c r="O16" s="40">
        <f t="shared" si="3"/>
        <v>30.69</v>
      </c>
      <c r="P16" s="5">
        <f t="shared" si="4"/>
        <v>484.62</v>
      </c>
      <c r="Q16" s="5">
        <f t="shared" si="2"/>
        <v>32.308</v>
      </c>
    </row>
    <row r="17">
      <c r="A17" s="39">
        <v>45294.0</v>
      </c>
      <c r="B17" s="4" t="s">
        <v>47</v>
      </c>
      <c r="C17" s="21">
        <v>15.11</v>
      </c>
      <c r="H17" s="19"/>
      <c r="N17" s="39">
        <v>45307.0</v>
      </c>
      <c r="O17" s="40">
        <f t="shared" si="3"/>
        <v>31.43</v>
      </c>
      <c r="P17" s="5">
        <f t="shared" si="4"/>
        <v>516.05</v>
      </c>
      <c r="Q17" s="5">
        <f t="shared" si="2"/>
        <v>32.253125</v>
      </c>
    </row>
    <row r="18">
      <c r="A18" s="39">
        <v>45295.0</v>
      </c>
      <c r="B18" s="4" t="s">
        <v>110</v>
      </c>
      <c r="C18" s="21">
        <v>10.95</v>
      </c>
      <c r="H18" s="19"/>
      <c r="N18" s="39">
        <v>45308.0</v>
      </c>
      <c r="O18" s="40">
        <f t="shared" si="3"/>
        <v>38.43</v>
      </c>
      <c r="P18" s="5">
        <f t="shared" si="4"/>
        <v>554.48</v>
      </c>
      <c r="Q18" s="5">
        <f t="shared" si="2"/>
        <v>32.61647059</v>
      </c>
    </row>
    <row r="19">
      <c r="A19" s="39">
        <v>45295.0</v>
      </c>
      <c r="B19" s="4" t="s">
        <v>47</v>
      </c>
      <c r="C19" s="21">
        <v>6.04</v>
      </c>
      <c r="H19" s="19"/>
      <c r="N19" s="39">
        <v>45309.0</v>
      </c>
      <c r="O19" s="40">
        <f t="shared" si="3"/>
        <v>53.19</v>
      </c>
      <c r="P19" s="5">
        <f t="shared" si="4"/>
        <v>607.67</v>
      </c>
      <c r="Q19" s="5">
        <f t="shared" si="2"/>
        <v>33.75944444</v>
      </c>
    </row>
    <row r="20">
      <c r="A20" s="39">
        <v>45296.0</v>
      </c>
      <c r="B20" s="4" t="s">
        <v>127</v>
      </c>
      <c r="C20" s="21">
        <v>5.8</v>
      </c>
      <c r="H20" s="19"/>
      <c r="N20" s="39">
        <v>45310.0</v>
      </c>
      <c r="O20" s="40">
        <f t="shared" si="3"/>
        <v>52.8</v>
      </c>
      <c r="P20" s="5">
        <f t="shared" si="4"/>
        <v>660.47</v>
      </c>
      <c r="Q20" s="5">
        <f t="shared" si="2"/>
        <v>34.76157895</v>
      </c>
    </row>
    <row r="21">
      <c r="A21" s="39">
        <v>45296.0</v>
      </c>
      <c r="B21" s="4" t="s">
        <v>45</v>
      </c>
      <c r="C21" s="21">
        <f>5.49+7.69+6.59+5.49+5.49+5.49</f>
        <v>36.24</v>
      </c>
      <c r="E21" s="19"/>
      <c r="F21" s="5"/>
      <c r="H21" s="19"/>
      <c r="N21" s="39">
        <v>45311.0</v>
      </c>
      <c r="O21" s="40">
        <f t="shared" si="3"/>
        <v>73.55</v>
      </c>
      <c r="P21" s="5">
        <f t="shared" si="4"/>
        <v>734.02</v>
      </c>
      <c r="Q21" s="5">
        <f t="shared" si="2"/>
        <v>36.701</v>
      </c>
    </row>
    <row r="22">
      <c r="A22" s="39">
        <v>45296.0</v>
      </c>
      <c r="B22" s="4" t="s">
        <v>143</v>
      </c>
      <c r="C22" s="21">
        <v>12.0</v>
      </c>
      <c r="E22" s="19"/>
      <c r="F22" s="5"/>
      <c r="H22" s="19"/>
      <c r="N22" s="39">
        <v>45312.0</v>
      </c>
      <c r="O22" s="40">
        <f t="shared" si="3"/>
        <v>69.55</v>
      </c>
      <c r="P22" s="5">
        <f t="shared" si="4"/>
        <v>803.57</v>
      </c>
      <c r="Q22" s="5">
        <f t="shared" si="2"/>
        <v>38.2652381</v>
      </c>
    </row>
    <row r="23">
      <c r="A23" s="39">
        <v>45296.0</v>
      </c>
      <c r="B23" s="4" t="s">
        <v>397</v>
      </c>
      <c r="C23" s="21">
        <v>6.5</v>
      </c>
      <c r="E23" s="19"/>
      <c r="F23" s="5"/>
      <c r="H23" s="19"/>
      <c r="N23" s="39">
        <v>45313.0</v>
      </c>
      <c r="O23" s="5">
        <f>sumif(A:A,N23,C:C)-C74</f>
        <v>189.36</v>
      </c>
      <c r="P23" s="5">
        <f t="shared" si="4"/>
        <v>992.93</v>
      </c>
      <c r="Q23" s="5">
        <f t="shared" si="2"/>
        <v>45.13318182</v>
      </c>
    </row>
    <row r="24">
      <c r="A24" s="39">
        <v>45296.0</v>
      </c>
      <c r="B24" s="4" t="s">
        <v>398</v>
      </c>
      <c r="C24" s="21">
        <v>5.69</v>
      </c>
      <c r="E24" s="19"/>
      <c r="F24" s="5"/>
      <c r="H24" s="19"/>
      <c r="N24" s="39">
        <v>45314.0</v>
      </c>
      <c r="O24" s="40">
        <f t="shared" ref="O24:O32" si="5">sumif(A:A,N24,C:C)</f>
        <v>28.57</v>
      </c>
      <c r="P24" s="5">
        <f t="shared" si="4"/>
        <v>1021.5</v>
      </c>
      <c r="Q24" s="5">
        <f t="shared" si="2"/>
        <v>44.41304348</v>
      </c>
    </row>
    <row r="25">
      <c r="A25" s="39">
        <v>45297.0</v>
      </c>
      <c r="B25" s="4" t="s">
        <v>399</v>
      </c>
      <c r="C25" s="21">
        <v>23.95</v>
      </c>
      <c r="E25" s="19"/>
      <c r="F25" s="5"/>
      <c r="H25" s="19"/>
      <c r="N25" s="39">
        <v>45315.0</v>
      </c>
      <c r="O25" s="40">
        <f t="shared" si="5"/>
        <v>61.03</v>
      </c>
      <c r="P25" s="5">
        <f t="shared" si="4"/>
        <v>1082.53</v>
      </c>
      <c r="Q25" s="5">
        <f t="shared" si="2"/>
        <v>45.10541667</v>
      </c>
    </row>
    <row r="26">
      <c r="A26" s="39">
        <v>45297.0</v>
      </c>
      <c r="B26" s="4" t="s">
        <v>73</v>
      </c>
      <c r="C26" s="21">
        <v>9.39</v>
      </c>
      <c r="E26" s="19"/>
      <c r="F26" s="5"/>
      <c r="H26" s="19"/>
      <c r="N26" s="39">
        <v>45316.0</v>
      </c>
      <c r="O26" s="40">
        <f t="shared" si="5"/>
        <v>20.29</v>
      </c>
      <c r="P26" s="5">
        <f t="shared" si="4"/>
        <v>1102.82</v>
      </c>
      <c r="Q26" s="5">
        <f t="shared" si="2"/>
        <v>44.1128</v>
      </c>
    </row>
    <row r="27">
      <c r="A27" s="39">
        <v>45297.0</v>
      </c>
      <c r="B27" s="4" t="s">
        <v>47</v>
      </c>
      <c r="C27" s="4">
        <v>3.45</v>
      </c>
      <c r="E27" s="19"/>
      <c r="F27" s="5"/>
      <c r="H27" s="19"/>
      <c r="N27" s="39">
        <v>45317.0</v>
      </c>
      <c r="O27" s="40">
        <f t="shared" si="5"/>
        <v>7.75</v>
      </c>
      <c r="P27" s="5">
        <f t="shared" si="4"/>
        <v>1110.57</v>
      </c>
      <c r="Q27" s="5">
        <f t="shared" si="2"/>
        <v>42.71423077</v>
      </c>
    </row>
    <row r="28">
      <c r="A28" s="39">
        <v>45298.0</v>
      </c>
      <c r="B28" s="4" t="s">
        <v>400</v>
      </c>
      <c r="C28" s="21">
        <v>19.9</v>
      </c>
      <c r="E28" s="19"/>
      <c r="F28" s="5"/>
      <c r="H28" s="19"/>
      <c r="N28" s="39">
        <v>45318.0</v>
      </c>
      <c r="O28" s="40">
        <f t="shared" si="5"/>
        <v>59.02</v>
      </c>
      <c r="P28" s="5">
        <f t="shared" si="4"/>
        <v>1169.59</v>
      </c>
      <c r="Q28" s="5">
        <f t="shared" si="2"/>
        <v>43.31814815</v>
      </c>
    </row>
    <row r="29">
      <c r="A29" s="39">
        <v>45298.0</v>
      </c>
      <c r="B29" s="4" t="s">
        <v>127</v>
      </c>
      <c r="C29" s="21">
        <v>3.8</v>
      </c>
      <c r="E29" s="19"/>
      <c r="F29" s="5"/>
      <c r="H29" s="19"/>
      <c r="N29" s="39">
        <v>45319.0</v>
      </c>
      <c r="O29" s="40">
        <f t="shared" si="5"/>
        <v>39.75</v>
      </c>
      <c r="P29" s="5">
        <f t="shared" si="4"/>
        <v>1209.34</v>
      </c>
      <c r="Q29" s="5">
        <f t="shared" si="2"/>
        <v>43.19071429</v>
      </c>
    </row>
    <row r="30">
      <c r="A30" s="39">
        <v>45298.0</v>
      </c>
      <c r="B30" s="4" t="s">
        <v>127</v>
      </c>
      <c r="C30" s="21">
        <v>1.9</v>
      </c>
      <c r="E30" s="19"/>
      <c r="F30" s="5"/>
      <c r="H30" s="19"/>
      <c r="N30" s="39">
        <v>45320.0</v>
      </c>
      <c r="O30" s="40">
        <f t="shared" si="5"/>
        <v>18.38</v>
      </c>
      <c r="P30" s="5">
        <f t="shared" si="4"/>
        <v>1227.72</v>
      </c>
      <c r="Q30" s="5">
        <f t="shared" si="2"/>
        <v>42.33517241</v>
      </c>
    </row>
    <row r="31">
      <c r="A31" s="39">
        <v>45298.0</v>
      </c>
      <c r="B31" s="4" t="s">
        <v>401</v>
      </c>
      <c r="C31" s="21">
        <v>28.5</v>
      </c>
      <c r="E31" s="19"/>
      <c r="F31" s="5"/>
      <c r="H31" s="19"/>
      <c r="N31" s="39">
        <v>45321.0</v>
      </c>
      <c r="O31" s="40">
        <f t="shared" si="5"/>
        <v>44.29</v>
      </c>
      <c r="P31" s="5">
        <f t="shared" si="4"/>
        <v>1272.01</v>
      </c>
      <c r="Q31" s="5">
        <f t="shared" si="2"/>
        <v>42.40033333</v>
      </c>
    </row>
    <row r="32">
      <c r="A32" s="39">
        <v>45298.0</v>
      </c>
      <c r="B32" s="4" t="s">
        <v>73</v>
      </c>
      <c r="C32" s="21">
        <v>9.85</v>
      </c>
      <c r="E32" s="19"/>
      <c r="F32" s="5"/>
      <c r="H32" s="19"/>
      <c r="N32" s="39">
        <v>45322.0</v>
      </c>
      <c r="O32" s="40">
        <f t="shared" si="5"/>
        <v>0</v>
      </c>
      <c r="P32" s="5">
        <f t="shared" si="4"/>
        <v>1272.01</v>
      </c>
      <c r="Q32" s="5">
        <f t="shared" si="2"/>
        <v>41.03258065</v>
      </c>
    </row>
    <row r="33">
      <c r="A33" s="39">
        <v>45299.0</v>
      </c>
      <c r="B33" s="4" t="s">
        <v>47</v>
      </c>
      <c r="C33" s="21">
        <v>17.8</v>
      </c>
      <c r="E33" s="19"/>
      <c r="F33" s="5"/>
      <c r="H33" s="19"/>
      <c r="N33" s="39"/>
      <c r="Q33" s="5"/>
    </row>
    <row r="34">
      <c r="A34" s="39">
        <v>45300.0</v>
      </c>
      <c r="B34" s="4" t="s">
        <v>140</v>
      </c>
      <c r="C34" s="21">
        <v>8.75</v>
      </c>
      <c r="E34" s="19"/>
      <c r="F34" s="5"/>
      <c r="H34" s="19"/>
      <c r="Q34" s="5"/>
    </row>
    <row r="35">
      <c r="A35" s="39">
        <v>45300.0</v>
      </c>
      <c r="B35" s="4" t="s">
        <v>62</v>
      </c>
      <c r="C35" s="21">
        <v>3.15</v>
      </c>
      <c r="E35" s="19"/>
      <c r="F35" s="5"/>
      <c r="H35" s="19"/>
      <c r="Q35" s="5"/>
    </row>
    <row r="36">
      <c r="A36" s="39">
        <v>45300.0</v>
      </c>
      <c r="B36" s="4" t="s">
        <v>62</v>
      </c>
      <c r="C36" s="21">
        <v>2.35</v>
      </c>
      <c r="E36" s="19"/>
      <c r="F36" s="5"/>
      <c r="H36" s="19"/>
      <c r="Q36" s="5"/>
    </row>
    <row r="37">
      <c r="A37" s="39">
        <v>45301.0</v>
      </c>
      <c r="B37" s="4" t="s">
        <v>127</v>
      </c>
      <c r="C37" s="21">
        <v>6.8</v>
      </c>
      <c r="E37" s="19"/>
      <c r="F37" s="5"/>
      <c r="H37" s="19"/>
      <c r="Q37" s="5"/>
    </row>
    <row r="38">
      <c r="A38" s="39">
        <v>45301.0</v>
      </c>
      <c r="B38" s="4" t="s">
        <v>47</v>
      </c>
      <c r="C38" s="21">
        <v>9.4</v>
      </c>
      <c r="E38" s="19"/>
      <c r="F38" s="5"/>
      <c r="H38" s="19"/>
      <c r="Q38" s="5"/>
    </row>
    <row r="39">
      <c r="A39" s="39">
        <v>45301.0</v>
      </c>
      <c r="B39" s="4" t="s">
        <v>372</v>
      </c>
      <c r="C39" s="21">
        <v>1.0</v>
      </c>
      <c r="E39" s="19"/>
      <c r="F39" s="5"/>
      <c r="H39" s="19"/>
      <c r="Q39" s="5"/>
    </row>
    <row r="40">
      <c r="A40" s="39">
        <v>45302.0</v>
      </c>
      <c r="B40" s="4" t="s">
        <v>53</v>
      </c>
      <c r="C40" s="21">
        <v>23.58</v>
      </c>
      <c r="E40" s="19"/>
      <c r="F40" s="5"/>
      <c r="H40" s="19"/>
      <c r="Q40" s="5"/>
    </row>
    <row r="41">
      <c r="A41" s="39">
        <v>45302.0</v>
      </c>
      <c r="B41" s="4" t="s">
        <v>358</v>
      </c>
      <c r="C41" s="21">
        <v>3.85</v>
      </c>
      <c r="E41" s="19"/>
      <c r="F41" s="5"/>
      <c r="H41" s="19"/>
      <c r="Q41" s="5"/>
    </row>
    <row r="42">
      <c r="A42" s="39">
        <v>45303.0</v>
      </c>
      <c r="B42" s="4" t="s">
        <v>45</v>
      </c>
      <c r="C42" s="21">
        <f>sum(6.75,6.8,6.5,5.45)</f>
        <v>25.5</v>
      </c>
      <c r="E42" s="19"/>
      <c r="F42" s="5"/>
      <c r="H42" s="19"/>
      <c r="Q42" s="5"/>
    </row>
    <row r="43">
      <c r="A43" s="39">
        <v>45303.0</v>
      </c>
      <c r="B43" s="4" t="s">
        <v>52</v>
      </c>
      <c r="C43" s="21">
        <v>3.2</v>
      </c>
      <c r="E43" s="19"/>
      <c r="F43" s="5"/>
      <c r="H43" s="19"/>
      <c r="Q43" s="5"/>
    </row>
    <row r="44">
      <c r="A44" s="39">
        <v>45304.0</v>
      </c>
      <c r="B44" s="4" t="s">
        <v>64</v>
      </c>
      <c r="C44" s="21">
        <v>27.5</v>
      </c>
      <c r="E44" s="19"/>
      <c r="F44" s="5"/>
      <c r="H44" s="19"/>
      <c r="Q44" s="5"/>
    </row>
    <row r="45">
      <c r="A45" s="39">
        <v>45304.0</v>
      </c>
      <c r="B45" s="4" t="s">
        <v>127</v>
      </c>
      <c r="C45" s="21">
        <v>2.8</v>
      </c>
      <c r="E45" s="19"/>
      <c r="F45" s="5"/>
      <c r="H45" s="19"/>
      <c r="Q45" s="5"/>
    </row>
    <row r="46">
      <c r="A46" s="39">
        <v>45304.0</v>
      </c>
      <c r="B46" s="4" t="s">
        <v>73</v>
      </c>
      <c r="C46" s="21">
        <v>14.9</v>
      </c>
      <c r="E46" s="19"/>
      <c r="F46" s="5"/>
      <c r="H46" s="19"/>
      <c r="Q46" s="5"/>
    </row>
    <row r="47">
      <c r="A47" s="39">
        <v>45304.0</v>
      </c>
      <c r="B47" s="4" t="s">
        <v>230</v>
      </c>
      <c r="C47" s="21">
        <v>10.99</v>
      </c>
      <c r="E47" s="19"/>
      <c r="F47" s="5"/>
      <c r="H47" s="19"/>
      <c r="Q47" s="5"/>
    </row>
    <row r="48">
      <c r="A48" s="39">
        <v>45304.0</v>
      </c>
      <c r="B48" s="4" t="s">
        <v>210</v>
      </c>
      <c r="C48" s="21">
        <v>7.4</v>
      </c>
      <c r="E48" s="19"/>
      <c r="F48" s="5"/>
      <c r="H48" s="19"/>
      <c r="Q48" s="5"/>
    </row>
    <row r="49">
      <c r="A49" s="39">
        <v>45304.0</v>
      </c>
      <c r="B49" s="4" t="s">
        <v>73</v>
      </c>
      <c r="C49" s="21">
        <v>8.8</v>
      </c>
      <c r="E49" s="19"/>
      <c r="F49" s="5"/>
      <c r="H49" s="19"/>
      <c r="Q49" s="5"/>
    </row>
    <row r="50">
      <c r="A50" s="39">
        <v>45305.0</v>
      </c>
      <c r="B50" s="4" t="s">
        <v>64</v>
      </c>
      <c r="C50" s="21">
        <v>24.31</v>
      </c>
      <c r="E50" s="19"/>
      <c r="F50" s="5"/>
      <c r="H50" s="19"/>
      <c r="Q50" s="5"/>
    </row>
    <row r="51">
      <c r="A51" s="39">
        <v>45305.0</v>
      </c>
      <c r="B51" s="4" t="s">
        <v>119</v>
      </c>
      <c r="C51" s="21">
        <v>9.49</v>
      </c>
      <c r="E51" s="19"/>
      <c r="F51" s="5"/>
      <c r="H51" s="19"/>
      <c r="Q51" s="5"/>
    </row>
    <row r="52">
      <c r="A52" s="39">
        <v>45305.0</v>
      </c>
      <c r="B52" s="4" t="s">
        <v>364</v>
      </c>
      <c r="C52" s="21">
        <v>13.99</v>
      </c>
      <c r="E52" s="19"/>
      <c r="F52" s="5"/>
      <c r="H52" s="19"/>
      <c r="Q52" s="5"/>
    </row>
    <row r="53">
      <c r="A53" s="39">
        <v>45305.0</v>
      </c>
      <c r="B53" s="4" t="s">
        <v>73</v>
      </c>
      <c r="C53" s="21">
        <v>8.9</v>
      </c>
      <c r="E53" s="19"/>
      <c r="F53" s="5"/>
      <c r="H53" s="19"/>
      <c r="Q53" s="5"/>
    </row>
    <row r="54">
      <c r="A54" s="39">
        <v>45306.0</v>
      </c>
      <c r="B54" s="4" t="s">
        <v>59</v>
      </c>
      <c r="C54" s="21">
        <v>30.69</v>
      </c>
      <c r="E54" s="19"/>
      <c r="F54" s="5"/>
      <c r="H54" s="19"/>
      <c r="Q54" s="5"/>
    </row>
    <row r="55">
      <c r="A55" s="39">
        <v>45307.0</v>
      </c>
      <c r="B55" s="4" t="s">
        <v>119</v>
      </c>
      <c r="C55" s="21">
        <v>8.6</v>
      </c>
      <c r="E55" s="19"/>
      <c r="F55" s="5"/>
      <c r="H55" s="19"/>
      <c r="Q55" s="5"/>
    </row>
    <row r="56">
      <c r="A56" s="39">
        <v>45307.0</v>
      </c>
      <c r="B56" s="4" t="s">
        <v>53</v>
      </c>
      <c r="C56" s="21">
        <v>3.98</v>
      </c>
      <c r="E56" s="19"/>
      <c r="F56" s="5"/>
      <c r="H56" s="19"/>
      <c r="Q56" s="5"/>
    </row>
    <row r="57">
      <c r="A57" s="39">
        <v>45307.0</v>
      </c>
      <c r="B57" s="4" t="s">
        <v>358</v>
      </c>
      <c r="C57" s="21">
        <v>3.85</v>
      </c>
      <c r="E57" s="19"/>
      <c r="F57" s="5"/>
      <c r="H57" s="19"/>
      <c r="Q57" s="5"/>
    </row>
    <row r="58">
      <c r="A58" s="39">
        <v>45307.0</v>
      </c>
      <c r="B58" s="4" t="s">
        <v>302</v>
      </c>
      <c r="C58" s="21">
        <v>15.0</v>
      </c>
      <c r="E58" s="19"/>
      <c r="F58" s="5"/>
      <c r="H58" s="19"/>
      <c r="Q58" s="5"/>
    </row>
    <row r="59">
      <c r="A59" s="39">
        <v>45308.0</v>
      </c>
      <c r="B59" s="4" t="s">
        <v>89</v>
      </c>
      <c r="C59" s="21">
        <v>5.0</v>
      </c>
      <c r="E59" s="19"/>
      <c r="F59" s="5"/>
      <c r="H59" s="19"/>
      <c r="Q59" s="5"/>
    </row>
    <row r="60">
      <c r="A60" s="39">
        <v>45308.0</v>
      </c>
      <c r="B60" s="4" t="s">
        <v>64</v>
      </c>
      <c r="C60" s="21">
        <v>21.56</v>
      </c>
      <c r="E60" s="19"/>
      <c r="F60" s="5"/>
      <c r="H60" s="19"/>
      <c r="Q60" s="5"/>
    </row>
    <row r="61">
      <c r="A61" s="39">
        <v>45308.0</v>
      </c>
      <c r="B61" s="4" t="s">
        <v>53</v>
      </c>
      <c r="C61" s="21">
        <v>11.87</v>
      </c>
      <c r="E61" s="19"/>
      <c r="F61" s="5"/>
      <c r="H61" s="19"/>
      <c r="Q61" s="5"/>
    </row>
    <row r="62">
      <c r="A62" s="39">
        <v>45309.0</v>
      </c>
      <c r="B62" s="4" t="s">
        <v>320</v>
      </c>
      <c r="C62" s="21">
        <v>39.79</v>
      </c>
      <c r="E62" s="19"/>
      <c r="F62" s="5"/>
      <c r="H62" s="19"/>
      <c r="Q62" s="5"/>
    </row>
    <row r="63">
      <c r="A63" s="39">
        <v>45309.0</v>
      </c>
      <c r="B63" s="4" t="s">
        <v>140</v>
      </c>
      <c r="C63" s="21">
        <v>10.0</v>
      </c>
      <c r="E63" s="19"/>
      <c r="F63" s="5"/>
      <c r="H63" s="19"/>
      <c r="Q63" s="5"/>
    </row>
    <row r="64">
      <c r="A64" s="39">
        <v>45309.0</v>
      </c>
      <c r="B64" s="4" t="s">
        <v>62</v>
      </c>
      <c r="C64" s="21">
        <v>3.4</v>
      </c>
      <c r="E64" s="19"/>
      <c r="F64" s="5"/>
      <c r="H64" s="19"/>
      <c r="Q64" s="5"/>
    </row>
    <row r="65">
      <c r="A65" s="39">
        <v>45310.0</v>
      </c>
      <c r="B65" s="4" t="s">
        <v>54</v>
      </c>
      <c r="C65" s="43">
        <v>39.0</v>
      </c>
      <c r="E65" s="19"/>
      <c r="F65" s="5"/>
      <c r="H65" s="19"/>
      <c r="Q65" s="5"/>
    </row>
    <row r="66">
      <c r="A66" s="39">
        <v>45310.0</v>
      </c>
      <c r="B66" s="4" t="s">
        <v>47</v>
      </c>
      <c r="C66" s="21">
        <v>7.0</v>
      </c>
      <c r="E66" s="19"/>
      <c r="F66" s="5"/>
      <c r="H66" s="19"/>
      <c r="Q66" s="5"/>
    </row>
    <row r="67">
      <c r="A67" s="39">
        <v>45310.0</v>
      </c>
      <c r="B67" s="4" t="s">
        <v>127</v>
      </c>
      <c r="C67" s="21">
        <v>6.8</v>
      </c>
      <c r="E67" s="19"/>
      <c r="F67" s="5"/>
      <c r="H67" s="19"/>
      <c r="Q67" s="5"/>
    </row>
    <row r="68">
      <c r="A68" s="39">
        <v>45311.0</v>
      </c>
      <c r="B68" s="4" t="s">
        <v>402</v>
      </c>
      <c r="C68" s="21">
        <v>17.61</v>
      </c>
      <c r="E68" s="19"/>
      <c r="F68" s="5"/>
      <c r="H68" s="19"/>
      <c r="Q68" s="5"/>
    </row>
    <row r="69">
      <c r="A69" s="39">
        <v>45311.0</v>
      </c>
      <c r="B69" s="4" t="s">
        <v>403</v>
      </c>
      <c r="C69" s="21">
        <v>10.5</v>
      </c>
      <c r="E69" s="19"/>
      <c r="F69" s="5"/>
      <c r="H69" s="19"/>
      <c r="Q69" s="5"/>
    </row>
    <row r="70">
      <c r="A70" s="39">
        <v>45311.0</v>
      </c>
      <c r="B70" s="4" t="s">
        <v>45</v>
      </c>
      <c r="C70" s="21">
        <f>17.7+4+13.25+2.79</f>
        <v>37.74</v>
      </c>
      <c r="E70" s="19"/>
      <c r="F70" s="5"/>
      <c r="H70" s="19"/>
      <c r="Q70" s="5"/>
    </row>
    <row r="71">
      <c r="A71" s="39">
        <v>45311.0</v>
      </c>
      <c r="B71" s="4" t="s">
        <v>127</v>
      </c>
      <c r="C71" s="21">
        <v>7.7</v>
      </c>
      <c r="E71" s="19"/>
      <c r="F71" s="5"/>
      <c r="H71" s="19"/>
      <c r="Q71" s="5"/>
    </row>
    <row r="72">
      <c r="A72" s="39">
        <v>45312.0</v>
      </c>
      <c r="B72" s="4" t="s">
        <v>52</v>
      </c>
      <c r="C72" s="21">
        <v>24.55</v>
      </c>
      <c r="E72" s="19"/>
      <c r="F72" s="5"/>
      <c r="H72" s="19"/>
      <c r="Q72" s="5"/>
    </row>
    <row r="73">
      <c r="A73" s="39">
        <v>45312.0</v>
      </c>
      <c r="B73" s="4" t="s">
        <v>404</v>
      </c>
      <c r="C73" s="21">
        <v>45.0</v>
      </c>
      <c r="E73" s="19"/>
      <c r="F73" s="5"/>
      <c r="H73" s="19"/>
      <c r="Q73" s="5"/>
    </row>
    <row r="74">
      <c r="A74" s="39">
        <v>45313.0</v>
      </c>
      <c r="B74" s="4" t="s">
        <v>405</v>
      </c>
      <c r="C74" s="21">
        <v>103.84</v>
      </c>
      <c r="E74" s="19"/>
      <c r="F74" s="5"/>
      <c r="H74" s="19"/>
      <c r="Q74" s="5"/>
    </row>
    <row r="75">
      <c r="A75" s="39">
        <v>45313.0</v>
      </c>
      <c r="B75" s="4" t="s">
        <v>59</v>
      </c>
      <c r="C75" s="21">
        <f>35.16-8</f>
        <v>27.16</v>
      </c>
      <c r="E75" s="19"/>
      <c r="F75" s="5"/>
      <c r="H75" s="19"/>
      <c r="Q75" s="5"/>
    </row>
    <row r="76">
      <c r="A76" s="39">
        <v>45313.0</v>
      </c>
      <c r="B76" s="4" t="s">
        <v>406</v>
      </c>
      <c r="C76" s="21">
        <v>162.2</v>
      </c>
      <c r="E76" s="19"/>
      <c r="F76" s="5"/>
      <c r="H76" s="19"/>
      <c r="Q76" s="5"/>
    </row>
    <row r="77">
      <c r="A77" s="39">
        <v>45314.0</v>
      </c>
      <c r="B77" s="4" t="s">
        <v>140</v>
      </c>
      <c r="C77" s="21">
        <v>19.58</v>
      </c>
      <c r="E77" s="19"/>
      <c r="F77" s="5"/>
      <c r="H77" s="19"/>
      <c r="Q77" s="5"/>
    </row>
    <row r="78">
      <c r="A78" s="39">
        <v>45314.0</v>
      </c>
      <c r="B78" s="4" t="s">
        <v>407</v>
      </c>
      <c r="C78" s="21">
        <v>8.99</v>
      </c>
      <c r="E78" s="19"/>
      <c r="F78" s="5"/>
      <c r="H78" s="19"/>
      <c r="Q78" s="5"/>
    </row>
    <row r="79">
      <c r="A79" s="39">
        <v>45315.0</v>
      </c>
      <c r="B79" s="4" t="s">
        <v>47</v>
      </c>
      <c r="C79" s="4">
        <v>12.94</v>
      </c>
      <c r="E79" s="19"/>
      <c r="F79" s="5"/>
      <c r="H79" s="19"/>
      <c r="Q79" s="5"/>
    </row>
    <row r="80">
      <c r="A80" s="39">
        <v>45315.0</v>
      </c>
      <c r="B80" s="4" t="s">
        <v>127</v>
      </c>
      <c r="C80" s="21">
        <v>6.8</v>
      </c>
      <c r="E80" s="19"/>
      <c r="F80" s="5"/>
      <c r="H80" s="19"/>
      <c r="Q80" s="5"/>
    </row>
    <row r="81">
      <c r="A81" s="39">
        <v>45315.0</v>
      </c>
      <c r="B81" s="4" t="s">
        <v>408</v>
      </c>
      <c r="C81" s="21">
        <v>41.29</v>
      </c>
      <c r="E81" s="19"/>
      <c r="F81" s="5"/>
      <c r="H81" s="19"/>
      <c r="Q81" s="5"/>
    </row>
    <row r="82">
      <c r="A82" s="39">
        <v>45316.0</v>
      </c>
      <c r="B82" s="4" t="s">
        <v>253</v>
      </c>
      <c r="C82" s="21">
        <v>20.29</v>
      </c>
      <c r="E82" s="19"/>
      <c r="F82" s="5"/>
      <c r="H82" s="19"/>
      <c r="Q82" s="5"/>
    </row>
    <row r="83">
      <c r="A83" s="39">
        <v>45317.0</v>
      </c>
      <c r="B83" s="4" t="s">
        <v>409</v>
      </c>
      <c r="C83" s="21">
        <v>7.75</v>
      </c>
      <c r="E83" s="19"/>
      <c r="F83" s="5"/>
      <c r="H83" s="19"/>
      <c r="Q83" s="5"/>
    </row>
    <row r="84">
      <c r="A84" s="39">
        <v>45318.0</v>
      </c>
      <c r="B84" s="4" t="s">
        <v>54</v>
      </c>
      <c r="C84" s="21">
        <v>20.0</v>
      </c>
      <c r="E84" s="19"/>
      <c r="F84" s="5"/>
      <c r="H84" s="19"/>
      <c r="Q84" s="5"/>
    </row>
    <row r="85">
      <c r="A85" s="39">
        <v>45318.0</v>
      </c>
      <c r="B85" s="4" t="s">
        <v>410</v>
      </c>
      <c r="C85" s="21">
        <v>28.34</v>
      </c>
      <c r="E85" s="19"/>
      <c r="F85" s="5"/>
      <c r="H85" s="19"/>
      <c r="Q85" s="5"/>
    </row>
    <row r="86">
      <c r="A86" s="39">
        <v>45318.0</v>
      </c>
      <c r="B86" s="4" t="s">
        <v>45</v>
      </c>
      <c r="C86" s="21">
        <f>3.42+7.26</f>
        <v>10.68</v>
      </c>
      <c r="E86" s="19"/>
      <c r="F86" s="5"/>
      <c r="H86" s="19"/>
      <c r="Q86" s="5"/>
    </row>
    <row r="87">
      <c r="A87" s="39">
        <v>45319.0</v>
      </c>
      <c r="B87" s="4" t="s">
        <v>45</v>
      </c>
      <c r="C87" s="21">
        <f>3.85+7.69+11.54+2.56+11.11</f>
        <v>36.75</v>
      </c>
      <c r="E87" s="19"/>
      <c r="F87" s="5"/>
      <c r="H87" s="19"/>
      <c r="Q87" s="5"/>
    </row>
    <row r="88">
      <c r="A88" s="39">
        <v>45319.0</v>
      </c>
      <c r="B88" s="4" t="s">
        <v>76</v>
      </c>
      <c r="C88" s="21">
        <v>3.0</v>
      </c>
      <c r="E88" s="19"/>
      <c r="F88" s="5"/>
      <c r="H88" s="19"/>
      <c r="Q88" s="5"/>
    </row>
    <row r="89">
      <c r="A89" s="39">
        <v>45320.0</v>
      </c>
      <c r="B89" s="4" t="s">
        <v>45</v>
      </c>
      <c r="C89" s="21">
        <f>11.54+2.99+3.85</f>
        <v>18.38</v>
      </c>
      <c r="E89" s="19"/>
      <c r="F89" s="5"/>
      <c r="H89" s="19"/>
      <c r="Q89" s="5"/>
    </row>
    <row r="90">
      <c r="A90" s="39">
        <v>45321.0</v>
      </c>
      <c r="B90" s="4" t="s">
        <v>64</v>
      </c>
      <c r="C90" s="21">
        <v>21.6</v>
      </c>
      <c r="E90" s="19"/>
      <c r="F90" s="5"/>
      <c r="H90" s="19"/>
      <c r="Q90" s="5"/>
    </row>
    <row r="91">
      <c r="A91" s="39">
        <v>45321.0</v>
      </c>
      <c r="B91" s="4" t="s">
        <v>45</v>
      </c>
      <c r="C91" s="21">
        <v>12.43</v>
      </c>
      <c r="E91" s="19"/>
      <c r="F91" s="5"/>
      <c r="H91" s="19"/>
      <c r="Q91" s="5"/>
    </row>
    <row r="92">
      <c r="A92" s="39">
        <v>45321.0</v>
      </c>
      <c r="B92" s="4" t="s">
        <v>45</v>
      </c>
      <c r="C92" s="21">
        <v>10.26</v>
      </c>
      <c r="E92" s="19"/>
      <c r="F92" s="5"/>
      <c r="H92" s="19"/>
      <c r="Q92" s="5"/>
    </row>
    <row r="93">
      <c r="A93" s="39"/>
      <c r="C93" s="21"/>
      <c r="E93" s="19"/>
      <c r="F93" s="5"/>
      <c r="H93" s="19"/>
      <c r="Q93" s="5"/>
    </row>
    <row r="94">
      <c r="A94" s="39"/>
      <c r="C94" s="21"/>
      <c r="E94" s="19"/>
      <c r="F94" s="5"/>
      <c r="H94" s="19"/>
      <c r="Q94" s="5"/>
    </row>
    <row r="95">
      <c r="A95" s="39"/>
      <c r="C95" s="21"/>
      <c r="E95" s="19"/>
      <c r="F95" s="5"/>
      <c r="H95" s="19"/>
      <c r="Q95" s="5"/>
    </row>
    <row r="96">
      <c r="A96" s="39"/>
      <c r="C96" s="21"/>
      <c r="E96" s="19"/>
      <c r="F96" s="5"/>
      <c r="H96" s="19"/>
      <c r="Q96" s="5"/>
    </row>
    <row r="97">
      <c r="A97" s="39"/>
      <c r="C97" s="21"/>
      <c r="E97" s="19"/>
      <c r="F97" s="5"/>
      <c r="H97" s="19"/>
      <c r="Q97" s="5"/>
    </row>
    <row r="98">
      <c r="A98" s="39"/>
      <c r="C98" s="21"/>
      <c r="E98" s="19"/>
      <c r="F98" s="5"/>
      <c r="H98" s="19"/>
      <c r="Q98" s="5"/>
    </row>
    <row r="99">
      <c r="A99" s="39"/>
      <c r="C99" s="21"/>
      <c r="E99" s="19"/>
      <c r="F99" s="5"/>
      <c r="H99" s="19"/>
      <c r="Q99" s="5"/>
    </row>
    <row r="100">
      <c r="A100" s="39"/>
      <c r="C100" s="21"/>
      <c r="E100" s="19"/>
      <c r="F100" s="5"/>
      <c r="H100" s="19"/>
      <c r="Q100" s="5"/>
    </row>
    <row r="101">
      <c r="A101" s="44"/>
      <c r="C101" s="5"/>
      <c r="E101" s="19"/>
      <c r="F101" s="5"/>
      <c r="H101" s="19"/>
      <c r="Q101" s="5"/>
    </row>
    <row r="102">
      <c r="A102" s="44"/>
      <c r="C102" s="5"/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44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Q1:Q1000">
    <cfRule type="cellIs" dxfId="0" priority="1" operator="lessThan">
      <formula>20</formula>
    </cfRule>
  </conditionalFormatting>
  <conditionalFormatting sqref="Q1:Q1000">
    <cfRule type="cellIs" dxfId="6" priority="2" operator="lessThan">
      <formula>30</formula>
    </cfRule>
  </conditionalFormatting>
  <conditionalFormatting sqref="Q1:Q1000">
    <cfRule type="cellIs" dxfId="1" priority="3" operator="greaterThanOrEqual">
      <formula>30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0">
    <cfRule type="cellIs" dxfId="3" priority="6" operator="greaterThan">
      <formula>0</formula>
    </cfRule>
  </conditionalFormatting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207.95</v>
      </c>
      <c r="H1" s="1" t="s">
        <v>46</v>
      </c>
      <c r="I1" s="5">
        <f>I5-I6</f>
        <v>1095.25</v>
      </c>
      <c r="J1" s="19"/>
      <c r="K1" s="1" t="s">
        <v>47</v>
      </c>
      <c r="L1" s="5">
        <f t="shared" ref="L1:L4" si="1">SUMIF(B:B,K1,C:I)</f>
        <v>87.78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45261.0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80.47</v>
      </c>
      <c r="H2" s="1" t="s">
        <v>6</v>
      </c>
      <c r="I2" s="5">
        <f>SUMIF(B:B,H2,C:C)</f>
        <v>500</v>
      </c>
      <c r="K2" s="1" t="s">
        <v>53</v>
      </c>
      <c r="L2" s="5">
        <f t="shared" si="1"/>
        <v>13.01</v>
      </c>
      <c r="N2" s="39">
        <v>45261.0</v>
      </c>
      <c r="O2" s="5">
        <f>sumif(A:A,N2,C:C)-SUM(C2,C3,C4,C5)-sum(C6:C9)</f>
        <v>83.53</v>
      </c>
      <c r="P2" s="5">
        <f>SUM(O2)</f>
        <v>83.53</v>
      </c>
      <c r="Q2" s="5">
        <f t="shared" ref="Q2:Q32" si="2">P2/(ROW()-1)</f>
        <v>83.53</v>
      </c>
    </row>
    <row r="3">
      <c r="A3" s="39">
        <v>45261.0</v>
      </c>
      <c r="B3" s="4" t="s">
        <v>6</v>
      </c>
      <c r="C3" s="21">
        <v>500.0</v>
      </c>
      <c r="E3" s="1" t="s">
        <v>209</v>
      </c>
      <c r="F3" s="5">
        <f>SUMIF(B:B,"Pret",C:C)+SUMIF(B:B,"Breakfast",C:C)</f>
        <v>0</v>
      </c>
      <c r="H3" s="1" t="s">
        <v>8</v>
      </c>
      <c r="I3" s="5">
        <f>SUMIF(B:B,H3,C:C)+I1</f>
        <v>1345.25</v>
      </c>
      <c r="K3" s="1" t="s">
        <v>56</v>
      </c>
      <c r="L3" s="5">
        <f t="shared" si="1"/>
        <v>2.15</v>
      </c>
      <c r="N3" s="39">
        <v>45262.0</v>
      </c>
      <c r="O3" s="40">
        <f t="shared" ref="O3:O32" si="3">sumif(A:A,N3,C:C)</f>
        <v>32.54</v>
      </c>
      <c r="P3" s="5">
        <f t="shared" ref="P3:P32" si="4">P2+O3</f>
        <v>116.07</v>
      </c>
      <c r="Q3" s="5">
        <f t="shared" si="2"/>
        <v>58.035</v>
      </c>
    </row>
    <row r="4">
      <c r="A4" s="39">
        <v>45261.0</v>
      </c>
      <c r="B4" s="4" t="s">
        <v>54</v>
      </c>
      <c r="C4" s="41">
        <v>1105.0</v>
      </c>
      <c r="E4" s="1" t="s">
        <v>140</v>
      </c>
      <c r="F4" s="5">
        <f t="shared" ref="F4:F5" si="5">SUMIF(B:B,E4,C:C)</f>
        <v>52.23</v>
      </c>
      <c r="K4" s="1" t="s">
        <v>59</v>
      </c>
      <c r="L4" s="5">
        <f t="shared" si="1"/>
        <v>29.05</v>
      </c>
      <c r="N4" s="39">
        <v>45263.0</v>
      </c>
      <c r="O4" s="40">
        <f t="shared" si="3"/>
        <v>21.4</v>
      </c>
      <c r="P4" s="5">
        <f t="shared" si="4"/>
        <v>137.47</v>
      </c>
      <c r="Q4" s="5">
        <f t="shared" si="2"/>
        <v>45.82333333</v>
      </c>
    </row>
    <row r="5">
      <c r="A5" s="39">
        <v>45261.0</v>
      </c>
      <c r="B5" s="4" t="s">
        <v>252</v>
      </c>
      <c r="C5" s="21">
        <v>40.81</v>
      </c>
      <c r="E5" s="1" t="s">
        <v>411</v>
      </c>
      <c r="F5" s="5">
        <f t="shared" si="5"/>
        <v>77.97</v>
      </c>
      <c r="H5" s="1" t="s">
        <v>65</v>
      </c>
      <c r="I5" s="21">
        <v>4519.73</v>
      </c>
      <c r="N5" s="39">
        <v>45264.0</v>
      </c>
      <c r="O5" s="40">
        <f t="shared" si="3"/>
        <v>33.98</v>
      </c>
      <c r="P5" s="5">
        <f t="shared" si="4"/>
        <v>171.45</v>
      </c>
      <c r="Q5" s="5">
        <f t="shared" si="2"/>
        <v>42.8625</v>
      </c>
    </row>
    <row r="6">
      <c r="A6" s="39">
        <v>45261.0</v>
      </c>
      <c r="B6" s="4" t="s">
        <v>412</v>
      </c>
      <c r="C6" s="21">
        <v>25.39</v>
      </c>
      <c r="E6" s="1" t="s">
        <v>57</v>
      </c>
      <c r="F6" s="5">
        <f>sum(L:L)</f>
        <v>131.99</v>
      </c>
      <c r="H6" s="1" t="s">
        <v>68</v>
      </c>
      <c r="I6" s="5">
        <f>sum(C:C)</f>
        <v>3424.48</v>
      </c>
      <c r="N6" s="39">
        <v>45265.0</v>
      </c>
      <c r="O6" s="40">
        <f t="shared" si="3"/>
        <v>15.05</v>
      </c>
      <c r="P6" s="5">
        <f t="shared" si="4"/>
        <v>186.5</v>
      </c>
      <c r="Q6" s="5">
        <f t="shared" si="2"/>
        <v>37.3</v>
      </c>
    </row>
    <row r="7">
      <c r="A7" s="39">
        <v>45261.0</v>
      </c>
      <c r="B7" s="4" t="s">
        <v>413</v>
      </c>
      <c r="C7" s="21">
        <v>12.84</v>
      </c>
      <c r="E7" s="42" t="s">
        <v>61</v>
      </c>
      <c r="F7" s="5">
        <f>SUMIF(B:B,"Games",C:C)+SUMIF(B:B,"Spotify",C:C)+SUMIF(B:B,"Disney+",C:C)+SUMIF(B:B,"Book",C:C)+SUMIF(B:B,"Audible",C:C)+SUMIF(B:B,"Youtube Premium",C:C)</f>
        <v>45.03</v>
      </c>
      <c r="H7" s="1" t="s">
        <v>72</v>
      </c>
      <c r="I7" s="5">
        <f>sum(F:F)+I2+C2</f>
        <v>2746.23</v>
      </c>
      <c r="N7" s="39">
        <v>45266.0</v>
      </c>
      <c r="O7" s="40">
        <f t="shared" si="3"/>
        <v>20.26</v>
      </c>
      <c r="P7" s="5">
        <f t="shared" si="4"/>
        <v>206.76</v>
      </c>
      <c r="Q7" s="5">
        <f t="shared" si="2"/>
        <v>34.46</v>
      </c>
    </row>
    <row r="8">
      <c r="A8" s="39">
        <v>45261.0</v>
      </c>
      <c r="B8" s="4" t="s">
        <v>414</v>
      </c>
      <c r="C8" s="21">
        <v>37.0</v>
      </c>
      <c r="E8" s="1" t="s">
        <v>64</v>
      </c>
      <c r="F8" s="5">
        <f>SUMIF(B:B,E8,C:C)+SUMIF(B:B,"Shoes",C:C)</f>
        <v>42.5</v>
      </c>
      <c r="H8" s="1" t="s">
        <v>74</v>
      </c>
      <c r="I8" s="5">
        <f>I6-I7</f>
        <v>678.25</v>
      </c>
      <c r="N8" s="39">
        <v>45267.0</v>
      </c>
      <c r="O8" s="40">
        <f t="shared" si="3"/>
        <v>0</v>
      </c>
      <c r="P8" s="5">
        <f t="shared" si="4"/>
        <v>206.76</v>
      </c>
      <c r="Q8" s="5">
        <f t="shared" si="2"/>
        <v>29.53714286</v>
      </c>
    </row>
    <row r="9">
      <c r="A9" s="39">
        <v>45261.0</v>
      </c>
      <c r="B9" s="4" t="s">
        <v>210</v>
      </c>
      <c r="C9" s="21">
        <v>46.84</v>
      </c>
      <c r="E9" s="1" t="s">
        <v>54</v>
      </c>
      <c r="F9" s="5">
        <f>SUMIF(B:B,E9,C:C)+SUMIF(B:B,"Phone",C:C)</f>
        <v>1165.81</v>
      </c>
      <c r="H9" s="1"/>
      <c r="N9" s="39">
        <v>45268.0</v>
      </c>
      <c r="O9" s="40">
        <f t="shared" si="3"/>
        <v>10.79</v>
      </c>
      <c r="P9" s="5">
        <f t="shared" si="4"/>
        <v>217.55</v>
      </c>
      <c r="Q9" s="5">
        <f t="shared" si="2"/>
        <v>27.19375</v>
      </c>
    </row>
    <row r="10">
      <c r="A10" s="39">
        <v>45261.0</v>
      </c>
      <c r="B10" s="4" t="s">
        <v>164</v>
      </c>
      <c r="C10" s="21">
        <v>12.7</v>
      </c>
      <c r="E10" s="1" t="s">
        <v>127</v>
      </c>
      <c r="F10" s="5">
        <f>SUMIF(B:B,E10,C:C)</f>
        <v>48.45</v>
      </c>
      <c r="H10" s="53" t="s">
        <v>3</v>
      </c>
      <c r="I10" s="54">
        <f>(I3+I2)/I5</f>
        <v>0.408265538</v>
      </c>
      <c r="N10" s="39">
        <v>45269.0</v>
      </c>
      <c r="O10" s="40">
        <f t="shared" si="3"/>
        <v>5</v>
      </c>
      <c r="P10" s="5">
        <f t="shared" si="4"/>
        <v>222.55</v>
      </c>
      <c r="Q10" s="5">
        <f t="shared" si="2"/>
        <v>24.72777778</v>
      </c>
    </row>
    <row r="11">
      <c r="A11" s="39">
        <v>45261.0</v>
      </c>
      <c r="B11" s="4" t="s">
        <v>45</v>
      </c>
      <c r="C11" s="21">
        <f>13.4+7+3.75+4+12+11.8+5.9</f>
        <v>57.85</v>
      </c>
      <c r="E11" s="1" t="s">
        <v>164</v>
      </c>
      <c r="F11" s="48">
        <f>SUMIF(B:B,"Cigs",C:C)</f>
        <v>52.75</v>
      </c>
      <c r="N11" s="39">
        <v>45270.0</v>
      </c>
      <c r="O11" s="40">
        <f t="shared" si="3"/>
        <v>44.48</v>
      </c>
      <c r="P11" s="5">
        <f t="shared" si="4"/>
        <v>267.03</v>
      </c>
      <c r="Q11" s="5">
        <f t="shared" si="2"/>
        <v>26.703</v>
      </c>
    </row>
    <row r="12">
      <c r="A12" s="39">
        <v>45261.0</v>
      </c>
      <c r="B12" s="4" t="s">
        <v>73</v>
      </c>
      <c r="C12" s="21">
        <v>12.98</v>
      </c>
      <c r="E12" s="1" t="s">
        <v>73</v>
      </c>
      <c r="F12" s="5">
        <f>SUMIF(B:B,"Uber",C:C)</f>
        <v>44.79</v>
      </c>
      <c r="N12" s="39">
        <v>45271.0</v>
      </c>
      <c r="O12" s="40">
        <f t="shared" si="3"/>
        <v>14.76</v>
      </c>
      <c r="P12" s="5">
        <f t="shared" si="4"/>
        <v>281.79</v>
      </c>
      <c r="Q12" s="5">
        <f t="shared" si="2"/>
        <v>25.61727273</v>
      </c>
    </row>
    <row r="13">
      <c r="A13" s="39">
        <v>45262.0</v>
      </c>
      <c r="B13" s="4" t="s">
        <v>127</v>
      </c>
      <c r="C13" s="21">
        <v>6.65</v>
      </c>
      <c r="E13" s="1" t="s">
        <v>75</v>
      </c>
      <c r="F13" s="40">
        <f>SUMIF(B:B,"Gym",C:C)+SUMIF(B:B,"Climbing",C:C)</f>
        <v>46.29</v>
      </c>
      <c r="N13" s="39">
        <v>45272.0</v>
      </c>
      <c r="O13" s="40">
        <f t="shared" si="3"/>
        <v>10.9</v>
      </c>
      <c r="P13" s="5">
        <f t="shared" si="4"/>
        <v>292.69</v>
      </c>
      <c r="Q13" s="5">
        <f t="shared" si="2"/>
        <v>24.39083333</v>
      </c>
    </row>
    <row r="14">
      <c r="A14" s="39">
        <v>45262.0</v>
      </c>
      <c r="B14" s="4" t="s">
        <v>52</v>
      </c>
      <c r="C14" s="21">
        <v>8.79</v>
      </c>
      <c r="H14" s="19"/>
      <c r="N14" s="39">
        <v>45273.0</v>
      </c>
      <c r="O14" s="40">
        <f t="shared" si="3"/>
        <v>120.63</v>
      </c>
      <c r="P14" s="5">
        <f t="shared" si="4"/>
        <v>413.32</v>
      </c>
      <c r="Q14" s="5">
        <f t="shared" si="2"/>
        <v>31.79384615</v>
      </c>
    </row>
    <row r="15">
      <c r="A15" s="39">
        <v>45262.0</v>
      </c>
      <c r="B15" s="4" t="s">
        <v>76</v>
      </c>
      <c r="C15" s="21">
        <v>2.2</v>
      </c>
      <c r="H15" s="19"/>
      <c r="N15" s="39">
        <v>45274.0</v>
      </c>
      <c r="O15" s="40">
        <f t="shared" si="3"/>
        <v>17.05</v>
      </c>
      <c r="P15" s="5">
        <f t="shared" si="4"/>
        <v>430.37</v>
      </c>
      <c r="Q15" s="5">
        <f t="shared" si="2"/>
        <v>30.74071429</v>
      </c>
    </row>
    <row r="16">
      <c r="A16" s="39">
        <v>45262.0</v>
      </c>
      <c r="B16" s="4" t="s">
        <v>73</v>
      </c>
      <c r="C16" s="4">
        <v>14.9</v>
      </c>
      <c r="H16" s="19"/>
      <c r="N16" s="39">
        <v>45275.0</v>
      </c>
      <c r="O16" s="40">
        <f t="shared" si="3"/>
        <v>25.97</v>
      </c>
      <c r="P16" s="5">
        <f t="shared" si="4"/>
        <v>456.34</v>
      </c>
      <c r="Q16" s="5">
        <f t="shared" si="2"/>
        <v>30.42266667</v>
      </c>
    </row>
    <row r="17">
      <c r="A17" s="39">
        <v>45263.0</v>
      </c>
      <c r="B17" s="4" t="s">
        <v>127</v>
      </c>
      <c r="C17" s="21">
        <v>6.45</v>
      </c>
      <c r="H17" s="19"/>
      <c r="N17" s="39">
        <v>45276.0</v>
      </c>
      <c r="O17" s="40">
        <f t="shared" si="3"/>
        <v>91</v>
      </c>
      <c r="P17" s="5">
        <f t="shared" si="4"/>
        <v>547.34</v>
      </c>
      <c r="Q17" s="5">
        <f t="shared" si="2"/>
        <v>34.20875</v>
      </c>
    </row>
    <row r="18">
      <c r="A18" s="39">
        <v>45263.0</v>
      </c>
      <c r="B18" s="4" t="s">
        <v>140</v>
      </c>
      <c r="C18" s="21">
        <v>14.95</v>
      </c>
      <c r="H18" s="19"/>
      <c r="N18" s="39">
        <v>45277.0</v>
      </c>
      <c r="O18" s="40">
        <f t="shared" si="3"/>
        <v>28.38</v>
      </c>
      <c r="P18" s="5">
        <f t="shared" si="4"/>
        <v>575.72</v>
      </c>
      <c r="Q18" s="5">
        <f t="shared" si="2"/>
        <v>33.86588235</v>
      </c>
    </row>
    <row r="19">
      <c r="A19" s="39">
        <v>45264.0</v>
      </c>
      <c r="B19" s="4" t="s">
        <v>415</v>
      </c>
      <c r="C19" s="21">
        <v>19.03</v>
      </c>
      <c r="H19" s="19"/>
      <c r="N19" s="39">
        <v>45278.0</v>
      </c>
      <c r="O19" s="40">
        <f t="shared" si="3"/>
        <v>54.04</v>
      </c>
      <c r="P19" s="5">
        <f t="shared" si="4"/>
        <v>629.76</v>
      </c>
      <c r="Q19" s="5">
        <f t="shared" si="2"/>
        <v>34.98666667</v>
      </c>
    </row>
    <row r="20">
      <c r="A20" s="39">
        <v>45264.0</v>
      </c>
      <c r="B20" s="4" t="s">
        <v>47</v>
      </c>
      <c r="C20" s="21">
        <f>8.25+6.7</f>
        <v>14.95</v>
      </c>
      <c r="E20" s="19"/>
      <c r="F20" s="5"/>
      <c r="H20" s="19"/>
      <c r="N20" s="39">
        <v>45279.0</v>
      </c>
      <c r="O20" s="40">
        <f t="shared" si="3"/>
        <v>27.4</v>
      </c>
      <c r="P20" s="5">
        <f t="shared" si="4"/>
        <v>657.16</v>
      </c>
      <c r="Q20" s="5">
        <f t="shared" si="2"/>
        <v>34.58736842</v>
      </c>
    </row>
    <row r="21">
      <c r="A21" s="39">
        <v>45265.0</v>
      </c>
      <c r="B21" s="4" t="s">
        <v>47</v>
      </c>
      <c r="C21" s="21">
        <v>15.05</v>
      </c>
      <c r="E21" s="19"/>
      <c r="F21" s="5"/>
      <c r="H21" s="19"/>
      <c r="N21" s="39">
        <v>45280.0</v>
      </c>
      <c r="O21" s="40">
        <f t="shared" si="3"/>
        <v>3.65</v>
      </c>
      <c r="P21" s="5">
        <f t="shared" si="4"/>
        <v>660.81</v>
      </c>
      <c r="Q21" s="5">
        <f t="shared" si="2"/>
        <v>33.0405</v>
      </c>
    </row>
    <row r="22">
      <c r="A22" s="39">
        <v>45266.0</v>
      </c>
      <c r="B22" s="4" t="s">
        <v>416</v>
      </c>
      <c r="C22" s="21">
        <v>13.26</v>
      </c>
      <c r="E22" s="19"/>
      <c r="F22" s="5"/>
      <c r="H22" s="19"/>
      <c r="N22" s="39">
        <v>45281.0</v>
      </c>
      <c r="O22" s="40">
        <f t="shared" si="3"/>
        <v>84.08</v>
      </c>
      <c r="P22" s="5">
        <f t="shared" si="4"/>
        <v>744.89</v>
      </c>
      <c r="Q22" s="5">
        <f t="shared" si="2"/>
        <v>35.47095238</v>
      </c>
    </row>
    <row r="23">
      <c r="A23" s="39">
        <v>45266.0</v>
      </c>
      <c r="B23" s="4" t="s">
        <v>59</v>
      </c>
      <c r="C23" s="21">
        <v>7.0</v>
      </c>
      <c r="E23" s="19"/>
      <c r="F23" s="5"/>
      <c r="H23" s="19"/>
      <c r="N23" s="39">
        <v>45282.0</v>
      </c>
      <c r="O23" s="40">
        <f t="shared" si="3"/>
        <v>17.99</v>
      </c>
      <c r="P23" s="5">
        <f t="shared" si="4"/>
        <v>762.88</v>
      </c>
      <c r="Q23" s="5">
        <f t="shared" si="2"/>
        <v>34.67636364</v>
      </c>
    </row>
    <row r="24">
      <c r="A24" s="39">
        <v>45268.0</v>
      </c>
      <c r="B24" s="4" t="s">
        <v>140</v>
      </c>
      <c r="C24" s="21">
        <v>7.29</v>
      </c>
      <c r="E24" s="19"/>
      <c r="F24" s="5"/>
      <c r="H24" s="19"/>
      <c r="N24" s="39">
        <v>45283.0</v>
      </c>
      <c r="O24" s="40">
        <f t="shared" si="3"/>
        <v>68.29</v>
      </c>
      <c r="P24" s="5">
        <f t="shared" si="4"/>
        <v>831.17</v>
      </c>
      <c r="Q24" s="5">
        <f t="shared" si="2"/>
        <v>36.13782609</v>
      </c>
    </row>
    <row r="25">
      <c r="A25" s="39">
        <v>45268.0</v>
      </c>
      <c r="B25" s="4" t="s">
        <v>47</v>
      </c>
      <c r="C25" s="21">
        <v>3.5</v>
      </c>
      <c r="E25" s="19"/>
      <c r="F25" s="5"/>
      <c r="H25" s="19"/>
      <c r="N25" s="39">
        <v>45284.0</v>
      </c>
      <c r="O25" s="40">
        <f t="shared" si="3"/>
        <v>153.65</v>
      </c>
      <c r="P25" s="5">
        <f t="shared" si="4"/>
        <v>984.82</v>
      </c>
      <c r="Q25" s="5">
        <f t="shared" si="2"/>
        <v>41.03416667</v>
      </c>
    </row>
    <row r="26">
      <c r="A26" s="39">
        <v>45269.0</v>
      </c>
      <c r="B26" s="4" t="s">
        <v>47</v>
      </c>
      <c r="C26" s="21">
        <v>5.0</v>
      </c>
      <c r="E26" s="19"/>
      <c r="F26" s="5"/>
      <c r="H26" s="19"/>
      <c r="N26" s="39">
        <v>45285.0</v>
      </c>
      <c r="O26" s="40">
        <f t="shared" si="3"/>
        <v>0</v>
      </c>
      <c r="P26" s="5">
        <f t="shared" si="4"/>
        <v>984.82</v>
      </c>
      <c r="Q26" s="5">
        <f t="shared" si="2"/>
        <v>39.3928</v>
      </c>
    </row>
    <row r="27">
      <c r="A27" s="39">
        <v>45270.0</v>
      </c>
      <c r="B27" s="4" t="s">
        <v>110</v>
      </c>
      <c r="C27" s="21">
        <v>15.0</v>
      </c>
      <c r="E27" s="19"/>
      <c r="F27" s="5"/>
      <c r="H27" s="19"/>
      <c r="N27" s="39">
        <v>45286.0</v>
      </c>
      <c r="O27" s="40">
        <f t="shared" si="3"/>
        <v>0</v>
      </c>
      <c r="P27" s="5">
        <f t="shared" si="4"/>
        <v>984.82</v>
      </c>
      <c r="Q27" s="5">
        <f t="shared" si="2"/>
        <v>37.87769231</v>
      </c>
    </row>
    <row r="28">
      <c r="A28" s="39">
        <v>45270.0</v>
      </c>
      <c r="B28" s="4" t="s">
        <v>127</v>
      </c>
      <c r="C28" s="21">
        <v>1.9</v>
      </c>
      <c r="E28" s="19"/>
      <c r="F28" s="5"/>
      <c r="H28" s="19"/>
      <c r="N28" s="39">
        <v>45287.0</v>
      </c>
      <c r="O28" s="40">
        <f t="shared" si="3"/>
        <v>37.29</v>
      </c>
      <c r="P28" s="5">
        <f t="shared" si="4"/>
        <v>1022.11</v>
      </c>
      <c r="Q28" s="5">
        <f t="shared" si="2"/>
        <v>37.85592593</v>
      </c>
    </row>
    <row r="29">
      <c r="A29" s="39">
        <v>45270.0</v>
      </c>
      <c r="B29" s="4" t="s">
        <v>52</v>
      </c>
      <c r="C29" s="21">
        <v>12.44</v>
      </c>
      <c r="E29" s="19"/>
      <c r="F29" s="5"/>
      <c r="H29" s="19"/>
      <c r="N29" s="39">
        <v>45288.0</v>
      </c>
      <c r="O29" s="40">
        <f t="shared" si="3"/>
        <v>0</v>
      </c>
      <c r="P29" s="5">
        <f t="shared" si="4"/>
        <v>1022.11</v>
      </c>
      <c r="Q29" s="5">
        <f t="shared" si="2"/>
        <v>36.50392857</v>
      </c>
    </row>
    <row r="30">
      <c r="A30" s="39">
        <v>45270.0</v>
      </c>
      <c r="B30" s="4" t="s">
        <v>372</v>
      </c>
      <c r="C30" s="21">
        <v>1.0</v>
      </c>
      <c r="E30" s="19"/>
      <c r="F30" s="5"/>
      <c r="H30" s="19"/>
      <c r="N30" s="39">
        <v>45289.0</v>
      </c>
      <c r="O30" s="40">
        <f t="shared" si="3"/>
        <v>197.46</v>
      </c>
      <c r="P30" s="5">
        <f t="shared" si="4"/>
        <v>1219.57</v>
      </c>
      <c r="Q30" s="5">
        <f t="shared" si="2"/>
        <v>42.05413793</v>
      </c>
    </row>
    <row r="31">
      <c r="A31" s="39">
        <v>45270.0</v>
      </c>
      <c r="B31" s="4" t="s">
        <v>47</v>
      </c>
      <c r="C31" s="21">
        <v>14.14</v>
      </c>
      <c r="E31" s="19"/>
      <c r="F31" s="5"/>
      <c r="H31" s="19"/>
      <c r="N31" s="39">
        <v>45290.0</v>
      </c>
      <c r="O31" s="40">
        <f t="shared" si="3"/>
        <v>60.55</v>
      </c>
      <c r="P31" s="5">
        <f t="shared" si="4"/>
        <v>1280.12</v>
      </c>
      <c r="Q31" s="5">
        <f t="shared" si="2"/>
        <v>42.67066667</v>
      </c>
    </row>
    <row r="32">
      <c r="A32" s="39">
        <v>45271.0</v>
      </c>
      <c r="B32" s="4" t="s">
        <v>127</v>
      </c>
      <c r="C32" s="21">
        <v>1.75</v>
      </c>
      <c r="E32" s="19"/>
      <c r="F32" s="5"/>
      <c r="H32" s="19"/>
      <c r="N32" s="39">
        <v>45291.0</v>
      </c>
      <c r="O32" s="40">
        <f t="shared" si="3"/>
        <v>126.48</v>
      </c>
      <c r="P32" s="5">
        <f t="shared" si="4"/>
        <v>1406.6</v>
      </c>
      <c r="Q32" s="5">
        <f t="shared" si="2"/>
        <v>45.37419355</v>
      </c>
    </row>
    <row r="33">
      <c r="A33" s="39">
        <v>45271.0</v>
      </c>
      <c r="B33" s="4" t="s">
        <v>53</v>
      </c>
      <c r="C33" s="21">
        <v>13.01</v>
      </c>
      <c r="E33" s="19"/>
      <c r="F33" s="5"/>
      <c r="H33" s="19"/>
      <c r="Q33" s="5"/>
    </row>
    <row r="34">
      <c r="A34" s="39">
        <v>45272.0</v>
      </c>
      <c r="B34" s="4" t="s">
        <v>140</v>
      </c>
      <c r="C34" s="41">
        <v>10.9</v>
      </c>
      <c r="E34" s="19"/>
      <c r="F34" s="5"/>
      <c r="H34" s="19"/>
      <c r="Q34" s="5"/>
    </row>
    <row r="35">
      <c r="A35" s="39">
        <v>45273.0</v>
      </c>
      <c r="B35" s="4" t="s">
        <v>417</v>
      </c>
      <c r="C35" s="21">
        <v>49.99</v>
      </c>
      <c r="E35" s="19"/>
      <c r="F35" s="5"/>
      <c r="H35" s="19"/>
      <c r="Q35" s="5"/>
    </row>
    <row r="36">
      <c r="A36" s="39">
        <v>45273.0</v>
      </c>
      <c r="B36" s="4" t="s">
        <v>64</v>
      </c>
      <c r="C36" s="21">
        <v>27.5</v>
      </c>
      <c r="E36" s="19"/>
      <c r="F36" s="5"/>
      <c r="H36" s="19"/>
      <c r="Q36" s="5"/>
    </row>
    <row r="37">
      <c r="A37" s="39">
        <v>45273.0</v>
      </c>
      <c r="B37" s="4" t="s">
        <v>418</v>
      </c>
      <c r="C37" s="21">
        <v>12.99</v>
      </c>
      <c r="E37" s="19"/>
      <c r="F37" s="5"/>
      <c r="H37" s="19"/>
      <c r="Q37" s="5"/>
    </row>
    <row r="38">
      <c r="A38" s="39">
        <v>45273.0</v>
      </c>
      <c r="B38" s="4" t="s">
        <v>127</v>
      </c>
      <c r="C38" s="21">
        <v>8.1</v>
      </c>
      <c r="E38" s="19"/>
      <c r="F38" s="5"/>
      <c r="H38" s="19"/>
      <c r="Q38" s="5"/>
    </row>
    <row r="39">
      <c r="A39" s="39">
        <v>45273.0</v>
      </c>
      <c r="B39" s="4" t="s">
        <v>59</v>
      </c>
      <c r="C39" s="21">
        <v>22.05</v>
      </c>
      <c r="E39" s="19"/>
      <c r="F39" s="5"/>
      <c r="H39" s="19"/>
      <c r="Q39" s="5"/>
    </row>
    <row r="40">
      <c r="A40" s="39">
        <v>45274.0</v>
      </c>
      <c r="B40" s="4" t="s">
        <v>140</v>
      </c>
      <c r="C40" s="21">
        <v>9.0</v>
      </c>
      <c r="E40" s="19"/>
      <c r="F40" s="5"/>
      <c r="H40" s="19"/>
      <c r="Q40" s="5"/>
    </row>
    <row r="41">
      <c r="A41" s="39">
        <v>45274.0</v>
      </c>
      <c r="B41" s="4" t="s">
        <v>62</v>
      </c>
      <c r="C41" s="21">
        <v>1.1</v>
      </c>
      <c r="E41" s="19"/>
      <c r="F41" s="5"/>
      <c r="H41" s="19"/>
      <c r="Q41" s="5"/>
    </row>
    <row r="42">
      <c r="A42" s="39">
        <v>45274.0</v>
      </c>
      <c r="B42" s="4" t="s">
        <v>47</v>
      </c>
      <c r="C42" s="21">
        <v>3.45</v>
      </c>
      <c r="E42" s="19"/>
      <c r="F42" s="5"/>
      <c r="H42" s="19"/>
      <c r="Q42" s="5"/>
    </row>
    <row r="43">
      <c r="A43" s="39">
        <v>45274.0</v>
      </c>
      <c r="B43" s="4" t="s">
        <v>76</v>
      </c>
      <c r="C43" s="21">
        <v>3.5</v>
      </c>
      <c r="E43" s="19"/>
      <c r="F43" s="5"/>
      <c r="H43" s="19"/>
      <c r="Q43" s="5"/>
    </row>
    <row r="44">
      <c r="A44" s="39">
        <v>45275.0</v>
      </c>
      <c r="B44" s="4" t="s">
        <v>127</v>
      </c>
      <c r="C44" s="21">
        <v>6.8</v>
      </c>
      <c r="E44" s="19"/>
      <c r="F44" s="5"/>
      <c r="H44" s="19"/>
      <c r="Q44" s="5"/>
    </row>
    <row r="45">
      <c r="A45" s="39">
        <v>45275.0</v>
      </c>
      <c r="B45" s="4" t="s">
        <v>52</v>
      </c>
      <c r="C45" s="21">
        <v>19.17</v>
      </c>
      <c r="E45" s="19"/>
      <c r="F45" s="5"/>
      <c r="H45" s="19"/>
      <c r="Q45" s="5"/>
    </row>
    <row r="46">
      <c r="A46" s="39">
        <v>45276.0</v>
      </c>
      <c r="B46" s="4" t="s">
        <v>230</v>
      </c>
      <c r="C46" s="21">
        <v>8.5</v>
      </c>
      <c r="E46" s="19"/>
      <c r="F46" s="5"/>
      <c r="H46" s="19"/>
      <c r="Q46" s="5"/>
    </row>
    <row r="47">
      <c r="A47" s="39">
        <v>45276.0</v>
      </c>
      <c r="B47" s="4" t="s">
        <v>164</v>
      </c>
      <c r="C47" s="21">
        <v>13.08</v>
      </c>
      <c r="E47" s="19"/>
      <c r="F47" s="5"/>
      <c r="H47" s="19"/>
      <c r="Q47" s="5"/>
    </row>
    <row r="48">
      <c r="A48" s="39">
        <v>45276.0</v>
      </c>
      <c r="B48" s="4" t="s">
        <v>45</v>
      </c>
      <c r="C48" s="21">
        <f>sum(5.35,5.35,5.15,15,9,3.2,2.8)</f>
        <v>45.85</v>
      </c>
      <c r="E48" s="19"/>
      <c r="F48" s="5"/>
      <c r="H48" s="19"/>
      <c r="Q48" s="5"/>
    </row>
    <row r="49">
      <c r="A49" s="39">
        <v>45276.0</v>
      </c>
      <c r="B49" s="4" t="s">
        <v>73</v>
      </c>
      <c r="C49" s="21">
        <v>7.93</v>
      </c>
      <c r="E49" s="19"/>
      <c r="F49" s="5"/>
      <c r="H49" s="19"/>
      <c r="Q49" s="5"/>
    </row>
    <row r="50">
      <c r="A50" s="39">
        <v>45276.0</v>
      </c>
      <c r="B50" s="4" t="s">
        <v>210</v>
      </c>
      <c r="C50" s="21">
        <v>15.64</v>
      </c>
      <c r="E50" s="19"/>
      <c r="F50" s="5"/>
      <c r="H50" s="19"/>
      <c r="Q50" s="5"/>
    </row>
    <row r="51">
      <c r="A51" s="39">
        <v>45277.0</v>
      </c>
      <c r="B51" s="4" t="s">
        <v>230</v>
      </c>
      <c r="C51" s="21">
        <v>13.59</v>
      </c>
      <c r="E51" s="19"/>
      <c r="F51" s="5"/>
      <c r="H51" s="19"/>
      <c r="Q51" s="5"/>
    </row>
    <row r="52">
      <c r="A52" s="39">
        <v>45277.0</v>
      </c>
      <c r="B52" s="4" t="s">
        <v>127</v>
      </c>
      <c r="C52" s="21">
        <v>2.8</v>
      </c>
      <c r="E52" s="19"/>
      <c r="F52" s="5"/>
      <c r="H52" s="19"/>
      <c r="Q52" s="5"/>
    </row>
    <row r="53">
      <c r="A53" s="39">
        <v>45277.0</v>
      </c>
      <c r="B53" s="4" t="s">
        <v>76</v>
      </c>
      <c r="C53" s="21">
        <v>3.9</v>
      </c>
      <c r="E53" s="19"/>
      <c r="F53" s="5"/>
      <c r="H53" s="19"/>
      <c r="Q53" s="5"/>
    </row>
    <row r="54">
      <c r="A54" s="39">
        <v>45277.0</v>
      </c>
      <c r="B54" s="4" t="s">
        <v>47</v>
      </c>
      <c r="C54" s="21">
        <v>8.09</v>
      </c>
      <c r="E54" s="19"/>
      <c r="F54" s="5"/>
      <c r="H54" s="19"/>
      <c r="Q54" s="5"/>
    </row>
    <row r="55">
      <c r="A55" s="39">
        <v>45278.0</v>
      </c>
      <c r="B55" s="4" t="s">
        <v>419</v>
      </c>
      <c r="C55" s="21">
        <v>21.24</v>
      </c>
      <c r="E55" s="19"/>
      <c r="F55" s="5"/>
      <c r="H55" s="19"/>
      <c r="Q55" s="5"/>
    </row>
    <row r="56">
      <c r="A56" s="39">
        <v>45278.0</v>
      </c>
      <c r="B56" s="4" t="s">
        <v>420</v>
      </c>
      <c r="C56" s="21">
        <v>30.0</v>
      </c>
      <c r="E56" s="19"/>
      <c r="F56" s="5"/>
      <c r="H56" s="19"/>
      <c r="Q56" s="5"/>
    </row>
    <row r="57">
      <c r="A57" s="39">
        <v>45278.0</v>
      </c>
      <c r="B57" s="4" t="s">
        <v>127</v>
      </c>
      <c r="C57" s="21">
        <v>2.8</v>
      </c>
      <c r="E57" s="19"/>
      <c r="F57" s="5"/>
      <c r="H57" s="19"/>
      <c r="Q57" s="5"/>
    </row>
    <row r="58">
      <c r="A58" s="39">
        <v>45279.0</v>
      </c>
      <c r="B58" s="4" t="s">
        <v>119</v>
      </c>
      <c r="C58" s="21">
        <v>7.45</v>
      </c>
      <c r="E58" s="19"/>
      <c r="F58" s="5"/>
      <c r="H58" s="19"/>
      <c r="Q58" s="5"/>
    </row>
    <row r="59">
      <c r="A59" s="39">
        <v>45279.0</v>
      </c>
      <c r="B59" s="4" t="s">
        <v>47</v>
      </c>
      <c r="C59" s="43">
        <v>19.95</v>
      </c>
      <c r="E59" s="19"/>
      <c r="F59" s="5"/>
      <c r="H59" s="19"/>
      <c r="Q59" s="5"/>
    </row>
    <row r="60">
      <c r="A60" s="39">
        <v>45280.0</v>
      </c>
      <c r="B60" s="4" t="s">
        <v>47</v>
      </c>
      <c r="C60" s="21">
        <v>3.65</v>
      </c>
      <c r="E60" s="19"/>
      <c r="F60" s="5"/>
      <c r="H60" s="19"/>
      <c r="Q60" s="5"/>
    </row>
    <row r="61">
      <c r="A61" s="39">
        <v>45281.0</v>
      </c>
      <c r="B61" s="4" t="s">
        <v>64</v>
      </c>
      <c r="C61" s="21">
        <v>15.0</v>
      </c>
      <c r="E61" s="19"/>
      <c r="F61" s="5"/>
      <c r="H61" s="19"/>
      <c r="Q61" s="5"/>
    </row>
    <row r="62">
      <c r="A62" s="39">
        <v>45281.0</v>
      </c>
      <c r="B62" s="4" t="s">
        <v>421</v>
      </c>
      <c r="C62" s="21">
        <v>27.0</v>
      </c>
      <c r="E62" s="19"/>
      <c r="F62" s="5"/>
      <c r="H62" s="19"/>
      <c r="Q62" s="5"/>
    </row>
    <row r="63">
      <c r="A63" s="39">
        <v>45281.0</v>
      </c>
      <c r="B63" s="4" t="s">
        <v>52</v>
      </c>
      <c r="C63" s="21">
        <v>22.08</v>
      </c>
      <c r="E63" s="19"/>
      <c r="F63" s="5"/>
      <c r="H63" s="19"/>
      <c r="Q63" s="5"/>
    </row>
    <row r="64">
      <c r="A64" s="39">
        <v>45281.0</v>
      </c>
      <c r="B64" s="4" t="s">
        <v>54</v>
      </c>
      <c r="C64" s="21">
        <v>20.0</v>
      </c>
      <c r="E64" s="19"/>
      <c r="F64" s="5"/>
      <c r="H64" s="19"/>
      <c r="Q64" s="5"/>
    </row>
    <row r="65">
      <c r="A65" s="39">
        <v>45282.0</v>
      </c>
      <c r="B65" s="4" t="s">
        <v>52</v>
      </c>
      <c r="C65" s="21">
        <v>17.99</v>
      </c>
      <c r="E65" s="19"/>
      <c r="F65" s="5"/>
      <c r="H65" s="19"/>
      <c r="Q65" s="5"/>
    </row>
    <row r="66">
      <c r="A66" s="39">
        <v>45283.0</v>
      </c>
      <c r="B66" s="4" t="s">
        <v>280</v>
      </c>
      <c r="C66" s="21">
        <v>17.3</v>
      </c>
      <c r="E66" s="19"/>
      <c r="F66" s="5"/>
      <c r="H66" s="19"/>
      <c r="Q66" s="5"/>
    </row>
    <row r="67">
      <c r="A67" s="39">
        <v>45283.0</v>
      </c>
      <c r="B67" s="4" t="s">
        <v>422</v>
      </c>
      <c r="C67" s="21">
        <v>13.0</v>
      </c>
      <c r="E67" s="19"/>
      <c r="F67" s="5"/>
      <c r="H67" s="19"/>
      <c r="Q67" s="5"/>
    </row>
    <row r="68">
      <c r="A68" s="39">
        <v>45283.0</v>
      </c>
      <c r="B68" s="4" t="s">
        <v>423</v>
      </c>
      <c r="C68" s="21">
        <v>30.0</v>
      </c>
      <c r="E68" s="19"/>
      <c r="F68" s="5"/>
      <c r="H68" s="19"/>
      <c r="Q68" s="5"/>
    </row>
    <row r="69">
      <c r="A69" s="39">
        <v>45283.0</v>
      </c>
      <c r="B69" s="4" t="s">
        <v>424</v>
      </c>
      <c r="C69" s="21">
        <v>5.99</v>
      </c>
      <c r="E69" s="19"/>
      <c r="F69" s="5"/>
      <c r="H69" s="19"/>
      <c r="Q69" s="5"/>
    </row>
    <row r="70">
      <c r="A70" s="39">
        <v>45283.0</v>
      </c>
      <c r="B70" s="4" t="s">
        <v>96</v>
      </c>
      <c r="C70" s="21">
        <v>2.0</v>
      </c>
      <c r="E70" s="19"/>
      <c r="F70" s="5"/>
      <c r="H70" s="19"/>
      <c r="Q70" s="5"/>
    </row>
    <row r="71">
      <c r="A71" s="39">
        <v>45284.0</v>
      </c>
      <c r="B71" s="4" t="s">
        <v>425</v>
      </c>
      <c r="C71" s="21">
        <v>134.0</v>
      </c>
      <c r="E71" s="19"/>
      <c r="F71" s="5"/>
      <c r="H71" s="19"/>
      <c r="Q71" s="5"/>
    </row>
    <row r="72">
      <c r="A72" s="39">
        <v>45284.0</v>
      </c>
      <c r="B72" s="4" t="s">
        <v>127</v>
      </c>
      <c r="C72" s="21">
        <v>2.8</v>
      </c>
      <c r="E72" s="19"/>
      <c r="F72" s="5"/>
      <c r="H72" s="19"/>
      <c r="Q72" s="5"/>
    </row>
    <row r="73">
      <c r="A73" s="39">
        <v>45284.0</v>
      </c>
      <c r="B73" s="4" t="s">
        <v>45</v>
      </c>
      <c r="C73" s="21">
        <v>16.85</v>
      </c>
      <c r="E73" s="19"/>
      <c r="F73" s="5"/>
      <c r="H73" s="19"/>
      <c r="Q73" s="5"/>
    </row>
    <row r="74">
      <c r="A74" s="39">
        <v>45287.0</v>
      </c>
      <c r="B74" s="4" t="s">
        <v>96</v>
      </c>
      <c r="C74" s="21">
        <v>4.0</v>
      </c>
      <c r="E74" s="19"/>
      <c r="F74" s="5"/>
      <c r="H74" s="19"/>
      <c r="Q74" s="5"/>
    </row>
    <row r="75">
      <c r="A75" s="39">
        <v>45287.0</v>
      </c>
      <c r="B75" s="4" t="s">
        <v>422</v>
      </c>
      <c r="C75" s="21">
        <v>13.0</v>
      </c>
      <c r="E75" s="19"/>
      <c r="F75" s="5"/>
      <c r="H75" s="19"/>
      <c r="Q75" s="5"/>
    </row>
    <row r="76">
      <c r="A76" s="39">
        <v>45289.0</v>
      </c>
      <c r="B76" s="4" t="s">
        <v>73</v>
      </c>
      <c r="C76" s="21">
        <v>8.98</v>
      </c>
      <c r="E76" s="19"/>
      <c r="F76" s="5"/>
      <c r="H76" s="19"/>
      <c r="Q76" s="5"/>
    </row>
    <row r="77">
      <c r="A77" s="39">
        <v>45289.0</v>
      </c>
      <c r="B77" s="4" t="s">
        <v>140</v>
      </c>
      <c r="C77" s="21">
        <v>10.09</v>
      </c>
      <c r="E77" s="19"/>
      <c r="F77" s="5"/>
      <c r="H77" s="19"/>
      <c r="Q77" s="5"/>
    </row>
    <row r="78">
      <c r="A78" s="39">
        <v>45289.0</v>
      </c>
      <c r="B78" s="4" t="s">
        <v>210</v>
      </c>
      <c r="C78" s="21">
        <v>7.99</v>
      </c>
      <c r="E78" s="19"/>
      <c r="F78" s="5"/>
      <c r="H78" s="19"/>
      <c r="Q78" s="5"/>
    </row>
    <row r="79">
      <c r="A79" s="39">
        <v>45289.0</v>
      </c>
      <c r="B79" s="4" t="s">
        <v>280</v>
      </c>
      <c r="C79" s="21">
        <v>2.85</v>
      </c>
      <c r="E79" s="19"/>
      <c r="F79" s="5"/>
      <c r="H79" s="19"/>
      <c r="Q79" s="5"/>
    </row>
    <row r="80">
      <c r="A80" s="39">
        <v>45289.0</v>
      </c>
      <c r="B80" s="4" t="s">
        <v>426</v>
      </c>
      <c r="C80" s="21">
        <v>100.0</v>
      </c>
      <c r="E80" s="19"/>
      <c r="F80" s="5"/>
      <c r="H80" s="19"/>
      <c r="Q80" s="5"/>
    </row>
    <row r="81">
      <c r="A81" s="39">
        <v>45289.0</v>
      </c>
      <c r="B81" s="4" t="s">
        <v>45</v>
      </c>
      <c r="C81" s="21">
        <v>9.4</v>
      </c>
      <c r="E81" s="19"/>
      <c r="F81" s="5"/>
      <c r="H81" s="19"/>
      <c r="Q81" s="5"/>
    </row>
    <row r="82">
      <c r="A82" s="39">
        <v>45289.0</v>
      </c>
      <c r="B82" s="4" t="s">
        <v>164</v>
      </c>
      <c r="C82" s="21">
        <v>26.97</v>
      </c>
      <c r="E82" s="19"/>
      <c r="F82" s="5"/>
      <c r="H82" s="19"/>
      <c r="Q82" s="5"/>
    </row>
    <row r="83">
      <c r="A83" s="39">
        <v>45289.0</v>
      </c>
      <c r="B83" s="4" t="s">
        <v>96</v>
      </c>
      <c r="C83" s="21">
        <v>2.85</v>
      </c>
      <c r="E83" s="19"/>
      <c r="F83" s="5"/>
      <c r="H83" s="19"/>
      <c r="Q83" s="5"/>
    </row>
    <row r="84">
      <c r="A84" s="39">
        <v>45290.0</v>
      </c>
      <c r="B84" s="4" t="s">
        <v>119</v>
      </c>
      <c r="C84" s="21">
        <v>2.5</v>
      </c>
      <c r="E84" s="19"/>
      <c r="F84" s="5"/>
      <c r="H84" s="19"/>
      <c r="Q84" s="5"/>
    </row>
    <row r="85">
      <c r="A85" s="39">
        <v>45290.0</v>
      </c>
      <c r="B85" s="4" t="s">
        <v>127</v>
      </c>
      <c r="C85" s="21">
        <v>4.2</v>
      </c>
      <c r="E85" s="19"/>
      <c r="F85" s="5"/>
      <c r="H85" s="19"/>
      <c r="Q85" s="5"/>
    </row>
    <row r="86">
      <c r="A86" s="39">
        <v>45290.0</v>
      </c>
      <c r="B86" s="4" t="s">
        <v>76</v>
      </c>
      <c r="C86" s="21">
        <v>3.3</v>
      </c>
      <c r="E86" s="19"/>
      <c r="F86" s="5"/>
      <c r="H86" s="19"/>
      <c r="Q86" s="5"/>
    </row>
    <row r="87">
      <c r="A87" s="39">
        <v>45290.0</v>
      </c>
      <c r="B87" s="4" t="s">
        <v>96</v>
      </c>
      <c r="C87" s="21">
        <v>2.85</v>
      </c>
      <c r="E87" s="19"/>
      <c r="F87" s="5"/>
      <c r="H87" s="19"/>
      <c r="Q87" s="5"/>
    </row>
    <row r="88">
      <c r="A88" s="39">
        <v>45290.0</v>
      </c>
      <c r="B88" s="4" t="s">
        <v>45</v>
      </c>
      <c r="C88" s="21">
        <v>13.2</v>
      </c>
      <c r="E88" s="19"/>
      <c r="F88" s="5"/>
      <c r="H88" s="19"/>
      <c r="Q88" s="5"/>
    </row>
    <row r="89">
      <c r="A89" s="39">
        <v>45290.0</v>
      </c>
      <c r="B89" s="4" t="s">
        <v>45</v>
      </c>
      <c r="C89" s="21">
        <v>27.0</v>
      </c>
      <c r="E89" s="19"/>
      <c r="F89" s="5"/>
      <c r="H89" s="19"/>
      <c r="Q89" s="5"/>
    </row>
    <row r="90">
      <c r="A90" s="39">
        <v>45290.0</v>
      </c>
      <c r="B90" s="4" t="s">
        <v>210</v>
      </c>
      <c r="C90" s="21">
        <v>7.5</v>
      </c>
      <c r="E90" s="19"/>
      <c r="F90" s="5"/>
      <c r="H90" s="19"/>
      <c r="Q90" s="5"/>
    </row>
    <row r="91">
      <c r="A91" s="39">
        <v>45291.0</v>
      </c>
      <c r="B91" s="4" t="s">
        <v>56</v>
      </c>
      <c r="C91" s="21">
        <v>2.15</v>
      </c>
      <c r="E91" s="19"/>
      <c r="F91" s="5"/>
      <c r="H91" s="19"/>
      <c r="Q91" s="5"/>
    </row>
    <row r="92">
      <c r="A92" s="39">
        <v>45291.0</v>
      </c>
      <c r="B92" s="4" t="s">
        <v>280</v>
      </c>
      <c r="C92" s="21">
        <v>2.85</v>
      </c>
      <c r="E92" s="19"/>
      <c r="F92" s="5"/>
      <c r="H92" s="19"/>
      <c r="Q92" s="5"/>
    </row>
    <row r="93">
      <c r="A93" s="39">
        <v>45291.0</v>
      </c>
      <c r="B93" s="4" t="s">
        <v>127</v>
      </c>
      <c r="C93" s="21">
        <v>4.2</v>
      </c>
      <c r="E93" s="19"/>
      <c r="F93" s="5"/>
      <c r="H93" s="19"/>
      <c r="Q93" s="5"/>
    </row>
    <row r="94">
      <c r="A94" s="39">
        <v>45291.0</v>
      </c>
      <c r="B94" s="4" t="s">
        <v>97</v>
      </c>
      <c r="C94" s="21">
        <v>20.98</v>
      </c>
      <c r="E94" s="19"/>
      <c r="F94" s="5"/>
      <c r="H94" s="19"/>
      <c r="Q94" s="5"/>
    </row>
    <row r="95">
      <c r="A95" s="39">
        <v>45291.0</v>
      </c>
      <c r="B95" s="4" t="s">
        <v>342</v>
      </c>
      <c r="C95" s="21">
        <v>7.2</v>
      </c>
      <c r="E95" s="19"/>
      <c r="F95" s="5"/>
      <c r="H95" s="19"/>
      <c r="Q95" s="5"/>
    </row>
    <row r="96">
      <c r="A96" s="39">
        <v>45291.0</v>
      </c>
      <c r="B96" s="4" t="s">
        <v>45</v>
      </c>
      <c r="C96" s="21">
        <f>5.9+5.9+13+13</f>
        <v>37.8</v>
      </c>
      <c r="E96" s="19"/>
      <c r="F96" s="5"/>
      <c r="H96" s="19"/>
      <c r="Q96" s="5"/>
    </row>
    <row r="97">
      <c r="A97" s="39">
        <v>45287.0</v>
      </c>
      <c r="B97" s="4" t="s">
        <v>253</v>
      </c>
      <c r="C97" s="21">
        <v>20.29</v>
      </c>
      <c r="E97" s="19"/>
      <c r="F97" s="5"/>
      <c r="H97" s="19"/>
      <c r="Q97" s="5"/>
    </row>
    <row r="98">
      <c r="A98" s="39">
        <v>45289.0</v>
      </c>
      <c r="B98" s="4" t="s">
        <v>416</v>
      </c>
      <c r="C98" s="21">
        <v>28.33</v>
      </c>
      <c r="E98" s="19"/>
      <c r="F98" s="5"/>
      <c r="H98" s="19"/>
      <c r="Q98" s="5"/>
    </row>
    <row r="99">
      <c r="A99" s="39">
        <v>45291.0</v>
      </c>
      <c r="B99" s="4" t="s">
        <v>427</v>
      </c>
      <c r="C99" s="21">
        <f>87.3-36</f>
        <v>51.3</v>
      </c>
      <c r="E99" s="19"/>
      <c r="F99" s="5"/>
      <c r="H99" s="19"/>
      <c r="Q99" s="5"/>
    </row>
    <row r="100">
      <c r="A100" s="44"/>
      <c r="C100" s="5"/>
      <c r="E100" s="19"/>
      <c r="F100" s="5"/>
      <c r="H100" s="19"/>
      <c r="Q100" s="5"/>
    </row>
    <row r="101">
      <c r="A101" s="44"/>
      <c r="C101" s="5"/>
      <c r="E101" s="19"/>
      <c r="F101" s="5"/>
      <c r="H101" s="19"/>
      <c r="Q101" s="5"/>
    </row>
    <row r="102">
      <c r="A102" s="44"/>
      <c r="C102" s="5"/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39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Q1:Q1000">
    <cfRule type="cellIs" dxfId="0" priority="1" operator="lessThan">
      <formula>20</formula>
    </cfRule>
  </conditionalFormatting>
  <conditionalFormatting sqref="Q1:Q1000">
    <cfRule type="cellIs" dxfId="6" priority="2" operator="lessThan">
      <formula>30</formula>
    </cfRule>
  </conditionalFormatting>
  <conditionalFormatting sqref="Q1:Q1000">
    <cfRule type="cellIs" dxfId="1" priority="3" operator="greaterThanOrEqual">
      <formula>30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1">
    <cfRule type="cellIs" dxfId="3" priority="6" operator="greaterThan">
      <formula>0</formula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0</v>
      </c>
      <c r="H1" s="1" t="s">
        <v>46</v>
      </c>
      <c r="I1" s="5">
        <f>I5-I6</f>
        <v>92.55</v>
      </c>
      <c r="J1" s="19"/>
      <c r="K1" s="1" t="s">
        <v>47</v>
      </c>
      <c r="L1" s="5">
        <f t="shared" ref="L1:L4" si="1">SUMIF(B:B,K1,C:I)</f>
        <v>98.94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45231.0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18.94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48.68</v>
      </c>
      <c r="N2" s="39">
        <v>45231.0</v>
      </c>
      <c r="O2" s="5">
        <f>sumif(A:A,N2,C:C)-SUM(C2,C3,C4,C5)</f>
        <v>29.4</v>
      </c>
      <c r="P2" s="5">
        <f>SUM(O2)</f>
        <v>29.4</v>
      </c>
      <c r="Q2" s="5">
        <f t="shared" ref="Q2:Q31" si="2">P2/(ROW()-1)</f>
        <v>29.4</v>
      </c>
    </row>
    <row r="3">
      <c r="A3" s="39">
        <v>45231.0</v>
      </c>
      <c r="B3" s="4" t="s">
        <v>6</v>
      </c>
      <c r="C3" s="21">
        <v>250.0</v>
      </c>
      <c r="E3" s="1" t="s">
        <v>209</v>
      </c>
      <c r="F3" s="5">
        <f>SUMIF(B:B,"Pret",C:C)+SUMIF(B:B,"Breakfast",C:C)</f>
        <v>5.29</v>
      </c>
      <c r="H3" s="1" t="s">
        <v>8</v>
      </c>
      <c r="I3" s="5">
        <f>SUMIF(B:B,H3,C:C)+I1</f>
        <v>342.55</v>
      </c>
      <c r="K3" s="1" t="s">
        <v>56</v>
      </c>
      <c r="L3" s="5">
        <f t="shared" si="1"/>
        <v>2.1</v>
      </c>
      <c r="N3" s="39">
        <v>45232.0</v>
      </c>
      <c r="O3" s="40">
        <f t="shared" ref="O3:O31" si="3">sumif(A:A,N3,C:C)</f>
        <v>0</v>
      </c>
      <c r="P3" s="5">
        <f t="shared" ref="P3:P31" si="4">P2+O3</f>
        <v>29.4</v>
      </c>
      <c r="Q3" s="5">
        <f t="shared" si="2"/>
        <v>14.7</v>
      </c>
    </row>
    <row r="4">
      <c r="A4" s="39">
        <v>45231.0</v>
      </c>
      <c r="B4" s="4" t="s">
        <v>54</v>
      </c>
      <c r="C4" s="41">
        <v>1105.0</v>
      </c>
      <c r="E4" s="1" t="s">
        <v>140</v>
      </c>
      <c r="F4" s="5">
        <f t="shared" ref="F4:F5" si="5">SUMIF(B:B,E4,C:C)</f>
        <v>68.25</v>
      </c>
      <c r="K4" s="1" t="s">
        <v>59</v>
      </c>
      <c r="L4" s="5">
        <f t="shared" si="1"/>
        <v>69.9</v>
      </c>
      <c r="N4" s="39">
        <v>45233.0</v>
      </c>
      <c r="O4" s="40">
        <f t="shared" si="3"/>
        <v>6.7</v>
      </c>
      <c r="P4" s="5">
        <f t="shared" si="4"/>
        <v>36.1</v>
      </c>
      <c r="Q4" s="5">
        <f t="shared" si="2"/>
        <v>12.03333333</v>
      </c>
    </row>
    <row r="5">
      <c r="A5" s="39">
        <v>45231.0</v>
      </c>
      <c r="B5" s="4" t="s">
        <v>252</v>
      </c>
      <c r="C5" s="21">
        <v>40.81</v>
      </c>
      <c r="E5" s="1" t="s">
        <v>428</v>
      </c>
      <c r="F5" s="5">
        <f t="shared" si="5"/>
        <v>17</v>
      </c>
      <c r="H5" s="1" t="s">
        <v>65</v>
      </c>
      <c r="I5" s="49">
        <v>2570.56</v>
      </c>
      <c r="N5" s="39">
        <v>45234.0</v>
      </c>
      <c r="O5" s="40">
        <f t="shared" si="3"/>
        <v>147.2</v>
      </c>
      <c r="P5" s="5">
        <f t="shared" si="4"/>
        <v>183.3</v>
      </c>
      <c r="Q5" s="5">
        <f t="shared" si="2"/>
        <v>45.825</v>
      </c>
    </row>
    <row r="6">
      <c r="A6" s="39">
        <v>45231.0</v>
      </c>
      <c r="B6" s="4" t="s">
        <v>230</v>
      </c>
      <c r="C6" s="21">
        <v>2.0</v>
      </c>
      <c r="E6" s="1" t="s">
        <v>57</v>
      </c>
      <c r="F6" s="5">
        <f>sum(L:L)</f>
        <v>219.62</v>
      </c>
      <c r="H6" s="1" t="s">
        <v>68</v>
      </c>
      <c r="I6" s="5">
        <f>sum(C:C)</f>
        <v>2478.01</v>
      </c>
      <c r="N6" s="39">
        <v>45235.0</v>
      </c>
      <c r="O6" s="40">
        <f t="shared" si="3"/>
        <v>2.45</v>
      </c>
      <c r="P6" s="5">
        <f t="shared" si="4"/>
        <v>185.75</v>
      </c>
      <c r="Q6" s="5">
        <f t="shared" si="2"/>
        <v>37.15</v>
      </c>
    </row>
    <row r="7">
      <c r="A7" s="39">
        <v>45231.0</v>
      </c>
      <c r="B7" s="4" t="s">
        <v>117</v>
      </c>
      <c r="C7" s="21">
        <v>10.0</v>
      </c>
      <c r="E7" s="42" t="s">
        <v>61</v>
      </c>
      <c r="F7" s="5">
        <f>SUMIF(B:B,"Games",C:C)+SUMIF(B:B,"Spotify",C:C)+SUMIF(B:B,"Disney+",C:C)+SUMIF(B:B,"Book",C:C)+SUMIF(B:B,"Audible",C:C)+SUMIF(B:B,"Youtube Premium",C:C)</f>
        <v>42.55</v>
      </c>
      <c r="H7" s="1" t="s">
        <v>72</v>
      </c>
      <c r="I7" s="5">
        <f>sum(F:F)+I2+C2</f>
        <v>2299.74</v>
      </c>
      <c r="N7" s="39">
        <v>45236.0</v>
      </c>
      <c r="O7" s="40">
        <f t="shared" si="3"/>
        <v>45.96</v>
      </c>
      <c r="P7" s="5">
        <f t="shared" si="4"/>
        <v>231.71</v>
      </c>
      <c r="Q7" s="5">
        <f t="shared" si="2"/>
        <v>38.61833333</v>
      </c>
    </row>
    <row r="8">
      <c r="A8" s="39">
        <v>45231.0</v>
      </c>
      <c r="B8" s="4" t="s">
        <v>127</v>
      </c>
      <c r="C8" s="21">
        <v>1.9</v>
      </c>
      <c r="E8" s="1" t="s">
        <v>64</v>
      </c>
      <c r="F8" s="5">
        <f>SUMIF(B:B,E8,C:C)+SUMIF(B:B,"Shoes",C:C)</f>
        <v>183.59</v>
      </c>
      <c r="H8" s="1" t="s">
        <v>74</v>
      </c>
      <c r="I8" s="5">
        <f>I6-I7</f>
        <v>178.27</v>
      </c>
      <c r="N8" s="39">
        <v>45237.0</v>
      </c>
      <c r="O8" s="40">
        <f t="shared" si="3"/>
        <v>16.99</v>
      </c>
      <c r="P8" s="5">
        <f t="shared" si="4"/>
        <v>248.7</v>
      </c>
      <c r="Q8" s="5">
        <f t="shared" si="2"/>
        <v>35.52857143</v>
      </c>
    </row>
    <row r="9">
      <c r="A9" s="39">
        <v>45231.0</v>
      </c>
      <c r="B9" s="4" t="s">
        <v>47</v>
      </c>
      <c r="C9" s="21">
        <v>15.5</v>
      </c>
      <c r="E9" s="1" t="s">
        <v>54</v>
      </c>
      <c r="F9" s="5">
        <f>SUMIF(B:B,E9,C:C)+SUMIF(B:B,"Phone",C:C)</f>
        <v>1145.81</v>
      </c>
      <c r="H9" s="1"/>
      <c r="N9" s="39">
        <v>45238.0</v>
      </c>
      <c r="O9" s="40">
        <f t="shared" si="3"/>
        <v>6.8</v>
      </c>
      <c r="P9" s="5">
        <f t="shared" si="4"/>
        <v>255.5</v>
      </c>
      <c r="Q9" s="5">
        <f t="shared" si="2"/>
        <v>31.9375</v>
      </c>
    </row>
    <row r="10">
      <c r="A10" s="39">
        <v>45233.0</v>
      </c>
      <c r="B10" s="4" t="s">
        <v>76</v>
      </c>
      <c r="C10" s="21">
        <v>3.7</v>
      </c>
      <c r="E10" s="1" t="s">
        <v>127</v>
      </c>
      <c r="F10" s="5">
        <f>SUMIF(B:B,E10,C:C)</f>
        <v>64.2</v>
      </c>
      <c r="H10" s="53" t="s">
        <v>3</v>
      </c>
      <c r="I10" s="54">
        <f>(I3+I2)/I5</f>
        <v>0.2305139736</v>
      </c>
      <c r="N10" s="39">
        <v>45239.0</v>
      </c>
      <c r="O10" s="40">
        <f t="shared" si="3"/>
        <v>24.37</v>
      </c>
      <c r="P10" s="5">
        <f t="shared" si="4"/>
        <v>279.87</v>
      </c>
      <c r="Q10" s="5">
        <f t="shared" si="2"/>
        <v>31.09666667</v>
      </c>
    </row>
    <row r="11">
      <c r="A11" s="39">
        <v>45233.0</v>
      </c>
      <c r="B11" s="4" t="s">
        <v>47</v>
      </c>
      <c r="C11" s="21">
        <v>3.0</v>
      </c>
      <c r="E11" s="1" t="s">
        <v>164</v>
      </c>
      <c r="F11" s="48">
        <f>SUMIF(B:B,"Cigs",C:C)</f>
        <v>0</v>
      </c>
      <c r="N11" s="39">
        <v>45240.0</v>
      </c>
      <c r="O11" s="40">
        <f t="shared" si="3"/>
        <v>56.64</v>
      </c>
      <c r="P11" s="5">
        <f t="shared" si="4"/>
        <v>336.51</v>
      </c>
      <c r="Q11" s="5">
        <f t="shared" si="2"/>
        <v>33.651</v>
      </c>
    </row>
    <row r="12">
      <c r="A12" s="39">
        <v>45234.0</v>
      </c>
      <c r="B12" s="4" t="s">
        <v>53</v>
      </c>
      <c r="C12" s="21">
        <v>23.85</v>
      </c>
      <c r="E12" s="1" t="s">
        <v>73</v>
      </c>
      <c r="F12" s="5">
        <f>SUMIF(B:B,"Uber",C:C)</f>
        <v>14.2</v>
      </c>
      <c r="N12" s="39">
        <v>45241.0</v>
      </c>
      <c r="O12" s="40">
        <f t="shared" si="3"/>
        <v>17.85</v>
      </c>
      <c r="P12" s="5">
        <f t="shared" si="4"/>
        <v>354.36</v>
      </c>
      <c r="Q12" s="5">
        <f t="shared" si="2"/>
        <v>32.21454545</v>
      </c>
    </row>
    <row r="13">
      <c r="A13" s="39">
        <v>45234.0</v>
      </c>
      <c r="B13" s="4" t="s">
        <v>59</v>
      </c>
      <c r="C13" s="21">
        <f>33.7-15.35</f>
        <v>18.35</v>
      </c>
      <c r="E13" s="1" t="s">
        <v>75</v>
      </c>
      <c r="F13" s="40">
        <f>SUMIF(B:B,"Gym",C:C)+SUMIF(B:B,"Climbing",C:C)</f>
        <v>20.29</v>
      </c>
      <c r="N13" s="39">
        <v>45242.0</v>
      </c>
      <c r="O13" s="40">
        <f t="shared" si="3"/>
        <v>25.05</v>
      </c>
      <c r="P13" s="5">
        <f t="shared" si="4"/>
        <v>379.41</v>
      </c>
      <c r="Q13" s="5">
        <f t="shared" si="2"/>
        <v>31.6175</v>
      </c>
    </row>
    <row r="14">
      <c r="A14" s="39">
        <v>45234.0</v>
      </c>
      <c r="B14" s="4" t="s">
        <v>64</v>
      </c>
      <c r="C14" s="21">
        <v>105.0</v>
      </c>
      <c r="H14" s="19"/>
      <c r="N14" s="39">
        <v>45243.0</v>
      </c>
      <c r="O14" s="40">
        <f t="shared" si="3"/>
        <v>61.44</v>
      </c>
      <c r="P14" s="5">
        <f t="shared" si="4"/>
        <v>440.85</v>
      </c>
      <c r="Q14" s="5">
        <f t="shared" si="2"/>
        <v>33.91153846</v>
      </c>
    </row>
    <row r="15">
      <c r="A15" s="39">
        <v>45235.0</v>
      </c>
      <c r="B15" s="4" t="s">
        <v>47</v>
      </c>
      <c r="C15" s="21">
        <v>2.45</v>
      </c>
      <c r="H15" s="19"/>
      <c r="N15" s="39">
        <v>45244.0</v>
      </c>
      <c r="O15" s="40">
        <f t="shared" si="3"/>
        <v>7</v>
      </c>
      <c r="P15" s="5">
        <f t="shared" si="4"/>
        <v>447.85</v>
      </c>
      <c r="Q15" s="5">
        <f t="shared" si="2"/>
        <v>31.98928571</v>
      </c>
    </row>
    <row r="16">
      <c r="A16" s="39">
        <v>45236.0</v>
      </c>
      <c r="B16" s="4" t="s">
        <v>59</v>
      </c>
      <c r="C16" s="21">
        <v>25.76</v>
      </c>
      <c r="H16" s="19"/>
      <c r="N16" s="39">
        <v>45245.0</v>
      </c>
      <c r="O16" s="40">
        <f t="shared" si="3"/>
        <v>10.43</v>
      </c>
      <c r="P16" s="5">
        <f t="shared" si="4"/>
        <v>458.28</v>
      </c>
      <c r="Q16" s="5">
        <f t="shared" si="2"/>
        <v>30.552</v>
      </c>
    </row>
    <row r="17">
      <c r="A17" s="39">
        <v>45236.0</v>
      </c>
      <c r="B17" s="4" t="s">
        <v>298</v>
      </c>
      <c r="C17" s="21">
        <v>9.0</v>
      </c>
      <c r="H17" s="19"/>
      <c r="N17" s="39">
        <v>45246.0</v>
      </c>
      <c r="O17" s="40">
        <f t="shared" si="3"/>
        <v>2.15</v>
      </c>
      <c r="P17" s="5">
        <f t="shared" si="4"/>
        <v>460.43</v>
      </c>
      <c r="Q17" s="5">
        <f t="shared" si="2"/>
        <v>28.776875</v>
      </c>
    </row>
    <row r="18">
      <c r="A18" s="39">
        <v>45236.0</v>
      </c>
      <c r="B18" s="4" t="s">
        <v>47</v>
      </c>
      <c r="C18" s="21">
        <v>8.2</v>
      </c>
      <c r="H18" s="19"/>
      <c r="N18" s="39">
        <v>45247.0</v>
      </c>
      <c r="O18" s="40">
        <f t="shared" si="3"/>
        <v>15.9</v>
      </c>
      <c r="P18" s="5">
        <f t="shared" si="4"/>
        <v>476.33</v>
      </c>
      <c r="Q18" s="5">
        <f t="shared" si="2"/>
        <v>28.01941176</v>
      </c>
    </row>
    <row r="19">
      <c r="A19" s="39">
        <v>45236.0</v>
      </c>
      <c r="B19" s="4" t="s">
        <v>76</v>
      </c>
      <c r="C19" s="21">
        <v>3.0</v>
      </c>
      <c r="H19" s="19"/>
      <c r="N19" s="39">
        <v>45248.0</v>
      </c>
      <c r="O19" s="40">
        <f t="shared" si="3"/>
        <v>1.79</v>
      </c>
      <c r="P19" s="5">
        <f t="shared" si="4"/>
        <v>478.12</v>
      </c>
      <c r="Q19" s="5">
        <f t="shared" si="2"/>
        <v>26.56222222</v>
      </c>
    </row>
    <row r="20">
      <c r="A20" s="39">
        <v>45237.0</v>
      </c>
      <c r="B20" s="4" t="s">
        <v>209</v>
      </c>
      <c r="C20" s="21">
        <v>5.29</v>
      </c>
      <c r="E20" s="19"/>
      <c r="F20" s="5"/>
      <c r="H20" s="19"/>
      <c r="N20" s="39">
        <v>45249.0</v>
      </c>
      <c r="O20" s="40">
        <f t="shared" si="3"/>
        <v>17.15</v>
      </c>
      <c r="P20" s="5">
        <f t="shared" si="4"/>
        <v>495.27</v>
      </c>
      <c r="Q20" s="5">
        <f t="shared" si="2"/>
        <v>26.06684211</v>
      </c>
    </row>
    <row r="21">
      <c r="A21" s="39">
        <v>45237.0</v>
      </c>
      <c r="B21" s="4" t="s">
        <v>56</v>
      </c>
      <c r="C21" s="21">
        <v>2.1</v>
      </c>
      <c r="E21" s="19"/>
      <c r="F21" s="5"/>
      <c r="H21" s="19"/>
      <c r="N21" s="39">
        <v>45250.0</v>
      </c>
      <c r="O21" s="40">
        <f t="shared" si="3"/>
        <v>30.3</v>
      </c>
      <c r="P21" s="5">
        <f t="shared" si="4"/>
        <v>525.57</v>
      </c>
      <c r="Q21" s="5">
        <f t="shared" si="2"/>
        <v>26.2785</v>
      </c>
    </row>
    <row r="22">
      <c r="A22" s="39">
        <v>45237.0</v>
      </c>
      <c r="B22" s="4" t="s">
        <v>140</v>
      </c>
      <c r="C22" s="21">
        <v>9.6</v>
      </c>
      <c r="E22" s="19"/>
      <c r="F22" s="5"/>
      <c r="H22" s="19"/>
      <c r="N22" s="39">
        <v>45251.0</v>
      </c>
      <c r="O22" s="40">
        <f t="shared" si="3"/>
        <v>14.5</v>
      </c>
      <c r="P22" s="5">
        <f t="shared" si="4"/>
        <v>540.07</v>
      </c>
      <c r="Q22" s="5">
        <f t="shared" si="2"/>
        <v>25.71761905</v>
      </c>
    </row>
    <row r="23">
      <c r="A23" s="39">
        <v>45238.0</v>
      </c>
      <c r="B23" s="4" t="s">
        <v>127</v>
      </c>
      <c r="C23" s="21">
        <v>6.8</v>
      </c>
      <c r="E23" s="19"/>
      <c r="F23" s="5"/>
      <c r="H23" s="19"/>
      <c r="N23" s="39">
        <v>45252.0</v>
      </c>
      <c r="O23" s="40">
        <f t="shared" si="3"/>
        <v>40.32</v>
      </c>
      <c r="P23" s="5">
        <f t="shared" si="4"/>
        <v>580.39</v>
      </c>
      <c r="Q23" s="5">
        <f t="shared" si="2"/>
        <v>26.38136364</v>
      </c>
    </row>
    <row r="24">
      <c r="A24" s="39">
        <v>45239.0</v>
      </c>
      <c r="B24" s="4" t="s">
        <v>47</v>
      </c>
      <c r="C24" s="21">
        <v>5.2</v>
      </c>
      <c r="E24" s="19"/>
      <c r="F24" s="5"/>
      <c r="H24" s="19"/>
      <c r="N24" s="39">
        <v>45253.0</v>
      </c>
      <c r="O24" s="40">
        <f t="shared" si="3"/>
        <v>16.45</v>
      </c>
      <c r="P24" s="5">
        <f t="shared" si="4"/>
        <v>596.84</v>
      </c>
      <c r="Q24" s="5">
        <f t="shared" si="2"/>
        <v>25.94956522</v>
      </c>
    </row>
    <row r="25">
      <c r="A25" s="39">
        <v>45239.0</v>
      </c>
      <c r="B25" s="4" t="s">
        <v>119</v>
      </c>
      <c r="C25" s="21">
        <v>19.17</v>
      </c>
      <c r="E25" s="19"/>
      <c r="F25" s="5"/>
      <c r="H25" s="19"/>
      <c r="N25" s="39">
        <v>45254.0</v>
      </c>
      <c r="O25" s="40">
        <f t="shared" si="3"/>
        <v>20.54</v>
      </c>
      <c r="P25" s="5">
        <f t="shared" si="4"/>
        <v>617.38</v>
      </c>
      <c r="Q25" s="5">
        <f t="shared" si="2"/>
        <v>25.72416667</v>
      </c>
    </row>
    <row r="26">
      <c r="A26" s="39">
        <v>45240.0</v>
      </c>
      <c r="B26" s="4" t="s">
        <v>110</v>
      </c>
      <c r="C26" s="21">
        <v>20.0</v>
      </c>
      <c r="E26" s="19"/>
      <c r="F26" s="5"/>
      <c r="H26" s="19"/>
      <c r="N26" s="39">
        <v>45255.0</v>
      </c>
      <c r="O26" s="40">
        <f t="shared" si="3"/>
        <v>25.29</v>
      </c>
      <c r="P26" s="5">
        <f t="shared" si="4"/>
        <v>642.67</v>
      </c>
      <c r="Q26" s="5">
        <f t="shared" si="2"/>
        <v>25.7068</v>
      </c>
    </row>
    <row r="27">
      <c r="A27" s="39">
        <v>45240.0</v>
      </c>
      <c r="B27" s="4" t="s">
        <v>127</v>
      </c>
      <c r="C27" s="21">
        <v>1.9</v>
      </c>
      <c r="E27" s="19"/>
      <c r="F27" s="5"/>
      <c r="H27" s="19"/>
      <c r="N27" s="39">
        <v>45256.0</v>
      </c>
      <c r="O27" s="40">
        <f t="shared" si="3"/>
        <v>5.2</v>
      </c>
      <c r="P27" s="5">
        <f t="shared" si="4"/>
        <v>647.87</v>
      </c>
      <c r="Q27" s="5">
        <f t="shared" si="2"/>
        <v>24.91807692</v>
      </c>
    </row>
    <row r="28">
      <c r="A28" s="39">
        <v>45240.0</v>
      </c>
      <c r="B28" s="4" t="s">
        <v>52</v>
      </c>
      <c r="C28" s="21">
        <v>18.94</v>
      </c>
      <c r="E28" s="19"/>
      <c r="F28" s="5"/>
      <c r="H28" s="19"/>
      <c r="N28" s="39">
        <v>45257.0</v>
      </c>
      <c r="O28" s="40">
        <f t="shared" si="3"/>
        <v>41.89</v>
      </c>
      <c r="P28" s="5">
        <f t="shared" si="4"/>
        <v>689.76</v>
      </c>
      <c r="Q28" s="5">
        <f t="shared" si="2"/>
        <v>25.54666667</v>
      </c>
    </row>
    <row r="29">
      <c r="A29" s="39">
        <v>45240.0</v>
      </c>
      <c r="B29" s="4" t="s">
        <v>429</v>
      </c>
      <c r="C29" s="21">
        <v>0.99</v>
      </c>
      <c r="E29" s="19"/>
      <c r="F29" s="5"/>
      <c r="H29" s="19"/>
      <c r="N29" s="39">
        <v>45258.0</v>
      </c>
      <c r="O29" s="40">
        <f t="shared" si="3"/>
        <v>53.68</v>
      </c>
      <c r="P29" s="5">
        <f t="shared" si="4"/>
        <v>743.44</v>
      </c>
      <c r="Q29" s="5">
        <f t="shared" si="2"/>
        <v>26.55142857</v>
      </c>
    </row>
    <row r="30">
      <c r="A30" s="39">
        <v>45240.0</v>
      </c>
      <c r="B30" s="4" t="s">
        <v>53</v>
      </c>
      <c r="C30" s="21">
        <v>7.28</v>
      </c>
      <c r="E30" s="19"/>
      <c r="F30" s="5"/>
      <c r="H30" s="19"/>
      <c r="N30" s="39">
        <v>45259.0</v>
      </c>
      <c r="O30" s="40">
        <f t="shared" si="3"/>
        <v>63.01</v>
      </c>
      <c r="P30" s="5">
        <f t="shared" si="4"/>
        <v>806.45</v>
      </c>
      <c r="Q30" s="5">
        <f t="shared" si="2"/>
        <v>27.80862069</v>
      </c>
    </row>
    <row r="31">
      <c r="A31" s="39">
        <v>45240.0</v>
      </c>
      <c r="B31" s="4" t="s">
        <v>337</v>
      </c>
      <c r="C31" s="41">
        <v>5.99</v>
      </c>
      <c r="E31" s="19"/>
      <c r="F31" s="5"/>
      <c r="H31" s="19"/>
      <c r="N31" s="39">
        <v>45260.0</v>
      </c>
      <c r="O31" s="40">
        <f t="shared" si="3"/>
        <v>25.75</v>
      </c>
      <c r="P31" s="5">
        <f t="shared" si="4"/>
        <v>832.2</v>
      </c>
      <c r="Q31" s="5">
        <f t="shared" si="2"/>
        <v>27.74</v>
      </c>
    </row>
    <row r="32">
      <c r="A32" s="39">
        <v>45240.0</v>
      </c>
      <c r="B32" s="4" t="s">
        <v>47</v>
      </c>
      <c r="C32" s="21">
        <v>1.54</v>
      </c>
      <c r="E32" s="19"/>
      <c r="F32" s="5"/>
      <c r="H32" s="19"/>
      <c r="N32" s="39"/>
      <c r="Q32" s="5"/>
    </row>
    <row r="33">
      <c r="A33" s="39">
        <v>45241.0</v>
      </c>
      <c r="B33" s="4" t="s">
        <v>47</v>
      </c>
      <c r="C33" s="21">
        <f>3.35+6.8+2.1</f>
        <v>12.25</v>
      </c>
      <c r="E33" s="19"/>
      <c r="F33" s="5"/>
      <c r="H33" s="19"/>
      <c r="Q33" s="5"/>
    </row>
    <row r="34">
      <c r="A34" s="39">
        <v>45241.0</v>
      </c>
      <c r="B34" s="4" t="s">
        <v>127</v>
      </c>
      <c r="C34" s="21">
        <v>5.6</v>
      </c>
      <c r="E34" s="19"/>
      <c r="F34" s="5"/>
      <c r="H34" s="19"/>
      <c r="Q34" s="5"/>
    </row>
    <row r="35">
      <c r="A35" s="39">
        <v>45242.0</v>
      </c>
      <c r="B35" s="4" t="s">
        <v>430</v>
      </c>
      <c r="C35" s="21">
        <v>4.0</v>
      </c>
      <c r="E35" s="19"/>
      <c r="F35" s="5"/>
      <c r="H35" s="19"/>
      <c r="Q35" s="5"/>
    </row>
    <row r="36">
      <c r="A36" s="39">
        <v>45242.0</v>
      </c>
      <c r="B36" s="4" t="s">
        <v>210</v>
      </c>
      <c r="C36" s="21">
        <v>17.0</v>
      </c>
      <c r="E36" s="19"/>
      <c r="F36" s="5"/>
      <c r="H36" s="19"/>
      <c r="Q36" s="5"/>
    </row>
    <row r="37">
      <c r="A37" s="39">
        <v>45242.0</v>
      </c>
      <c r="B37" s="4" t="s">
        <v>62</v>
      </c>
      <c r="C37" s="21">
        <v>4.05</v>
      </c>
      <c r="E37" s="19"/>
      <c r="F37" s="5"/>
      <c r="H37" s="19"/>
      <c r="Q37" s="5"/>
    </row>
    <row r="38">
      <c r="A38" s="39">
        <v>45243.0</v>
      </c>
      <c r="B38" s="4" t="s">
        <v>127</v>
      </c>
      <c r="C38" s="21">
        <v>5.6</v>
      </c>
      <c r="E38" s="19"/>
      <c r="F38" s="5"/>
      <c r="H38" s="19"/>
      <c r="Q38" s="5"/>
    </row>
    <row r="39">
      <c r="A39" s="39">
        <v>45243.0</v>
      </c>
      <c r="B39" s="4" t="s">
        <v>64</v>
      </c>
      <c r="C39" s="21">
        <v>29.5</v>
      </c>
      <c r="E39" s="19"/>
      <c r="F39" s="5"/>
      <c r="H39" s="19"/>
      <c r="Q39" s="5"/>
    </row>
    <row r="40">
      <c r="A40" s="39">
        <v>45243.0</v>
      </c>
      <c r="B40" s="4" t="s">
        <v>47</v>
      </c>
      <c r="C40" s="21">
        <v>13.35</v>
      </c>
      <c r="E40" s="19"/>
      <c r="F40" s="5"/>
      <c r="H40" s="19"/>
      <c r="Q40" s="5"/>
    </row>
    <row r="41">
      <c r="A41" s="39">
        <v>45243.0</v>
      </c>
      <c r="B41" s="4" t="s">
        <v>418</v>
      </c>
      <c r="C41" s="21">
        <v>12.99</v>
      </c>
      <c r="E41" s="19"/>
      <c r="F41" s="5"/>
      <c r="H41" s="19"/>
      <c r="Q41" s="5"/>
    </row>
    <row r="42">
      <c r="A42" s="39">
        <v>45244.0</v>
      </c>
      <c r="B42" s="4" t="s">
        <v>59</v>
      </c>
      <c r="C42" s="21">
        <v>7.0</v>
      </c>
      <c r="E42" s="19"/>
      <c r="F42" s="5"/>
      <c r="H42" s="19"/>
      <c r="Q42" s="5"/>
    </row>
    <row r="43">
      <c r="A43" s="39">
        <v>45245.0</v>
      </c>
      <c r="B43" s="4" t="s">
        <v>53</v>
      </c>
      <c r="C43" s="21">
        <v>10.43</v>
      </c>
      <c r="E43" s="19"/>
      <c r="F43" s="5"/>
      <c r="H43" s="19"/>
      <c r="Q43" s="5"/>
    </row>
    <row r="44">
      <c r="A44" s="39">
        <v>45246.0</v>
      </c>
      <c r="B44" s="4" t="s">
        <v>62</v>
      </c>
      <c r="C44" s="21">
        <v>2.15</v>
      </c>
      <c r="E44" s="19"/>
      <c r="F44" s="5"/>
      <c r="H44" s="19"/>
      <c r="Q44" s="5"/>
    </row>
    <row r="45">
      <c r="A45" s="39">
        <v>45247.0</v>
      </c>
      <c r="B45" s="4" t="s">
        <v>127</v>
      </c>
      <c r="C45" s="21">
        <v>6.8</v>
      </c>
      <c r="E45" s="19"/>
      <c r="F45" s="5"/>
      <c r="H45" s="19"/>
      <c r="Q45" s="5"/>
    </row>
    <row r="46">
      <c r="A46" s="39">
        <v>45247.0</v>
      </c>
      <c r="B46" s="4" t="s">
        <v>140</v>
      </c>
      <c r="C46" s="21">
        <v>7.75</v>
      </c>
      <c r="E46" s="19"/>
      <c r="F46" s="5"/>
      <c r="H46" s="19"/>
      <c r="Q46" s="5"/>
    </row>
    <row r="47">
      <c r="A47" s="39">
        <v>45247.0</v>
      </c>
      <c r="B47" s="4" t="s">
        <v>431</v>
      </c>
      <c r="C47" s="21">
        <v>1.35</v>
      </c>
      <c r="E47" s="19"/>
      <c r="F47" s="5"/>
      <c r="H47" s="19"/>
      <c r="Q47" s="5"/>
    </row>
    <row r="48">
      <c r="A48" s="39">
        <v>45248.0</v>
      </c>
      <c r="B48" s="4" t="s">
        <v>59</v>
      </c>
      <c r="C48" s="21">
        <v>1.79</v>
      </c>
      <c r="E48" s="19"/>
      <c r="F48" s="5"/>
      <c r="H48" s="19"/>
      <c r="Q48" s="5"/>
    </row>
    <row r="49">
      <c r="A49" s="39">
        <v>45249.0</v>
      </c>
      <c r="B49" s="4" t="s">
        <v>76</v>
      </c>
      <c r="C49" s="21">
        <v>2.95</v>
      </c>
      <c r="E49" s="19"/>
      <c r="F49" s="5"/>
      <c r="H49" s="19"/>
      <c r="Q49" s="5"/>
    </row>
    <row r="50">
      <c r="A50" s="39">
        <v>45249.0</v>
      </c>
      <c r="B50" s="4" t="s">
        <v>73</v>
      </c>
      <c r="C50" s="21">
        <v>14.2</v>
      </c>
      <c r="E50" s="19"/>
      <c r="F50" s="5"/>
      <c r="H50" s="19"/>
      <c r="Q50" s="5"/>
    </row>
    <row r="51">
      <c r="A51" s="39">
        <v>45250.0</v>
      </c>
      <c r="B51" s="4" t="s">
        <v>59</v>
      </c>
      <c r="C51" s="21">
        <v>15.0</v>
      </c>
      <c r="E51" s="19"/>
      <c r="F51" s="5"/>
      <c r="H51" s="19"/>
      <c r="Q51" s="5"/>
    </row>
    <row r="52">
      <c r="A52" s="39">
        <v>45250.0</v>
      </c>
      <c r="B52" s="4" t="s">
        <v>432</v>
      </c>
      <c r="C52" s="21">
        <v>3.9</v>
      </c>
      <c r="E52" s="19"/>
      <c r="F52" s="5"/>
      <c r="H52" s="19"/>
      <c r="Q52" s="5"/>
    </row>
    <row r="53">
      <c r="A53" s="39">
        <v>45250.0</v>
      </c>
      <c r="B53" s="4" t="s">
        <v>127</v>
      </c>
      <c r="C53" s="21">
        <f>3.7+7.7</f>
        <v>11.4</v>
      </c>
      <c r="E53" s="19"/>
      <c r="F53" s="5"/>
      <c r="H53" s="19"/>
      <c r="Q53" s="5"/>
    </row>
    <row r="54">
      <c r="A54" s="39">
        <v>45251.0</v>
      </c>
      <c r="B54" s="4" t="s">
        <v>140</v>
      </c>
      <c r="C54" s="21">
        <v>11.0</v>
      </c>
      <c r="E54" s="19"/>
      <c r="F54" s="5"/>
      <c r="H54" s="19"/>
      <c r="Q54" s="5"/>
    </row>
    <row r="55">
      <c r="A55" s="39">
        <v>45251.0</v>
      </c>
      <c r="B55" s="4" t="s">
        <v>76</v>
      </c>
      <c r="C55" s="21">
        <v>3.5</v>
      </c>
      <c r="E55" s="19"/>
      <c r="F55" s="5"/>
      <c r="H55" s="19"/>
      <c r="Q55" s="5"/>
    </row>
    <row r="56">
      <c r="A56" s="39">
        <v>45252.0</v>
      </c>
      <c r="B56" s="4" t="s">
        <v>127</v>
      </c>
      <c r="C56" s="21">
        <v>6.8</v>
      </c>
      <c r="E56" s="19"/>
      <c r="F56" s="5"/>
      <c r="H56" s="19"/>
      <c r="Q56" s="5"/>
    </row>
    <row r="57">
      <c r="A57" s="39">
        <v>45252.0</v>
      </c>
      <c r="B57" s="4" t="s">
        <v>433</v>
      </c>
      <c r="C57" s="21">
        <v>20.47</v>
      </c>
      <c r="E57" s="19"/>
      <c r="F57" s="5"/>
      <c r="H57" s="19"/>
      <c r="Q57" s="5"/>
    </row>
    <row r="58">
      <c r="A58" s="39">
        <v>45252.0</v>
      </c>
      <c r="B58" s="4" t="s">
        <v>47</v>
      </c>
      <c r="C58" s="21">
        <f>12.3+0.75</f>
        <v>13.05</v>
      </c>
      <c r="E58" s="19"/>
      <c r="F58" s="5"/>
      <c r="H58" s="19"/>
      <c r="Q58" s="5"/>
    </row>
    <row r="59">
      <c r="A59" s="39">
        <v>45253.0</v>
      </c>
      <c r="B59" s="4" t="s">
        <v>76</v>
      </c>
      <c r="C59" s="21">
        <v>3.5</v>
      </c>
      <c r="E59" s="19"/>
      <c r="F59" s="5"/>
      <c r="H59" s="19"/>
      <c r="Q59" s="5"/>
    </row>
    <row r="60">
      <c r="A60" s="39">
        <v>45253.0</v>
      </c>
      <c r="B60" s="4" t="s">
        <v>62</v>
      </c>
      <c r="C60" s="21">
        <v>1.0</v>
      </c>
      <c r="E60" s="19"/>
      <c r="F60" s="5"/>
      <c r="H60" s="19"/>
      <c r="Q60" s="5"/>
    </row>
    <row r="61">
      <c r="A61" s="39">
        <v>45253.0</v>
      </c>
      <c r="B61" s="4" t="s">
        <v>140</v>
      </c>
      <c r="C61" s="21">
        <v>11.95</v>
      </c>
      <c r="E61" s="19"/>
      <c r="F61" s="5"/>
      <c r="H61" s="19"/>
      <c r="Q61" s="5"/>
    </row>
    <row r="62">
      <c r="A62" s="39">
        <v>45254.0</v>
      </c>
      <c r="B62" s="4" t="s">
        <v>59</v>
      </c>
      <c r="C62" s="21">
        <v>2.0</v>
      </c>
      <c r="E62" s="19"/>
      <c r="F62" s="5"/>
      <c r="H62" s="19"/>
      <c r="Q62" s="5"/>
    </row>
    <row r="63">
      <c r="A63" s="39">
        <v>45254.0</v>
      </c>
      <c r="B63" s="4" t="s">
        <v>230</v>
      </c>
      <c r="C63" s="43">
        <f>12.13-3.74</f>
        <v>8.39</v>
      </c>
      <c r="E63" s="19"/>
      <c r="F63" s="5"/>
      <c r="H63" s="19"/>
      <c r="Q63" s="5"/>
    </row>
    <row r="64">
      <c r="A64" s="39">
        <v>45254.0</v>
      </c>
      <c r="B64" s="4" t="s">
        <v>140</v>
      </c>
      <c r="C64" s="21">
        <v>3.35</v>
      </c>
      <c r="E64" s="19"/>
      <c r="F64" s="5"/>
      <c r="H64" s="19"/>
      <c r="Q64" s="5"/>
    </row>
    <row r="65">
      <c r="A65" s="39">
        <v>45254.0</v>
      </c>
      <c r="B65" s="4" t="s">
        <v>127</v>
      </c>
      <c r="C65" s="21">
        <v>6.8</v>
      </c>
      <c r="E65" s="19"/>
      <c r="F65" s="5"/>
      <c r="H65" s="19"/>
      <c r="Q65" s="5"/>
    </row>
    <row r="66">
      <c r="A66" s="39">
        <v>45255.0</v>
      </c>
      <c r="B66" s="4" t="s">
        <v>253</v>
      </c>
      <c r="C66" s="21">
        <v>20.29</v>
      </c>
      <c r="E66" s="19"/>
      <c r="F66" s="5"/>
      <c r="H66" s="19"/>
      <c r="Q66" s="5"/>
    </row>
    <row r="67">
      <c r="A67" s="39">
        <v>45255.0</v>
      </c>
      <c r="B67" s="4" t="s">
        <v>47</v>
      </c>
      <c r="C67" s="21">
        <v>5.0</v>
      </c>
      <c r="E67" s="19"/>
      <c r="F67" s="5"/>
      <c r="H67" s="19"/>
      <c r="Q67" s="5"/>
    </row>
    <row r="68">
      <c r="A68" s="39">
        <v>45256.0</v>
      </c>
      <c r="B68" s="4" t="s">
        <v>127</v>
      </c>
      <c r="C68" s="21">
        <v>1.9</v>
      </c>
      <c r="E68" s="19"/>
      <c r="F68" s="5"/>
      <c r="H68" s="19"/>
      <c r="Q68" s="5"/>
    </row>
    <row r="69">
      <c r="A69" s="39">
        <v>45256.0</v>
      </c>
      <c r="B69" s="4" t="s">
        <v>47</v>
      </c>
      <c r="C69" s="21">
        <v>3.3</v>
      </c>
      <c r="E69" s="19"/>
      <c r="F69" s="5"/>
      <c r="H69" s="19"/>
      <c r="Q69" s="5"/>
    </row>
    <row r="70">
      <c r="A70" s="39">
        <v>45257.0</v>
      </c>
      <c r="B70" s="4" t="s">
        <v>47</v>
      </c>
      <c r="C70" s="21">
        <v>6.95</v>
      </c>
      <c r="E70" s="19"/>
      <c r="F70" s="5"/>
      <c r="H70" s="19"/>
      <c r="Q70" s="5"/>
    </row>
    <row r="71">
      <c r="A71" s="39">
        <v>45257.0</v>
      </c>
      <c r="B71" s="4" t="s">
        <v>127</v>
      </c>
      <c r="C71" s="21">
        <v>1.9</v>
      </c>
      <c r="E71" s="19"/>
      <c r="F71" s="5"/>
      <c r="H71" s="19"/>
      <c r="Q71" s="5"/>
    </row>
    <row r="72">
      <c r="A72" s="39">
        <v>45257.0</v>
      </c>
      <c r="B72" s="4" t="s">
        <v>431</v>
      </c>
      <c r="C72" s="21">
        <v>6.95</v>
      </c>
      <c r="E72" s="19"/>
      <c r="F72" s="5"/>
      <c r="H72" s="19"/>
      <c r="Q72" s="5"/>
    </row>
    <row r="73">
      <c r="A73" s="39">
        <v>45257.0</v>
      </c>
      <c r="B73" s="4" t="s">
        <v>294</v>
      </c>
      <c r="C73" s="21">
        <f>17.09+9</f>
        <v>26.09</v>
      </c>
      <c r="E73" s="19"/>
      <c r="F73" s="5"/>
      <c r="H73" s="19"/>
      <c r="Q73" s="5"/>
    </row>
    <row r="74">
      <c r="A74" s="39">
        <v>45258.0</v>
      </c>
      <c r="B74" s="4" t="s">
        <v>434</v>
      </c>
      <c r="C74" s="21">
        <v>28.33</v>
      </c>
      <c r="E74" s="19"/>
      <c r="F74" s="5"/>
      <c r="H74" s="19"/>
      <c r="Q74" s="5"/>
    </row>
    <row r="75">
      <c r="A75" s="39">
        <v>45258.0</v>
      </c>
      <c r="B75" s="4" t="s">
        <v>140</v>
      </c>
      <c r="C75" s="21">
        <v>15.0</v>
      </c>
      <c r="E75" s="19"/>
      <c r="F75" s="5"/>
      <c r="H75" s="19"/>
      <c r="Q75" s="5"/>
    </row>
    <row r="76">
      <c r="A76" s="39">
        <v>45258.0</v>
      </c>
      <c r="B76" s="4" t="s">
        <v>62</v>
      </c>
      <c r="C76" s="21">
        <v>1.2</v>
      </c>
      <c r="E76" s="19"/>
      <c r="F76" s="5"/>
      <c r="H76" s="19"/>
      <c r="Q76" s="5"/>
    </row>
    <row r="77">
      <c r="A77" s="39">
        <v>45258.0</v>
      </c>
      <c r="B77" s="4" t="s">
        <v>47</v>
      </c>
      <c r="C77" s="21">
        <v>9.15</v>
      </c>
      <c r="E77" s="19"/>
      <c r="F77" s="5"/>
      <c r="H77" s="19"/>
      <c r="Q77" s="5"/>
    </row>
    <row r="78">
      <c r="A78" s="39">
        <v>45259.0</v>
      </c>
      <c r="B78" s="4" t="s">
        <v>127</v>
      </c>
      <c r="C78" s="21">
        <v>6.8</v>
      </c>
      <c r="E78" s="19"/>
      <c r="F78" s="5"/>
      <c r="H78" s="19"/>
      <c r="Q78" s="5"/>
    </row>
    <row r="79">
      <c r="A79" s="39">
        <v>45259.0</v>
      </c>
      <c r="B79" s="4" t="s">
        <v>64</v>
      </c>
      <c r="C79" s="21">
        <f>27.49+21.6</f>
        <v>49.09</v>
      </c>
      <c r="E79" s="19"/>
      <c r="F79" s="5"/>
      <c r="H79" s="19"/>
      <c r="Q79" s="5"/>
    </row>
    <row r="80">
      <c r="A80" s="39">
        <v>45259.0</v>
      </c>
      <c r="B80" s="4" t="s">
        <v>53</v>
      </c>
      <c r="C80" s="21">
        <v>7.12</v>
      </c>
      <c r="E80" s="19"/>
      <c r="F80" s="5"/>
      <c r="H80" s="19"/>
      <c r="Q80" s="5"/>
    </row>
    <row r="81">
      <c r="A81" s="39">
        <v>45260.0</v>
      </c>
      <c r="B81" s="4" t="s">
        <v>62</v>
      </c>
      <c r="C81" s="21">
        <v>1.15</v>
      </c>
      <c r="E81" s="19"/>
      <c r="F81" s="5"/>
      <c r="H81" s="19"/>
      <c r="Q81" s="5"/>
    </row>
    <row r="82">
      <c r="A82" s="39">
        <v>45260.0</v>
      </c>
      <c r="B82" s="4" t="s">
        <v>435</v>
      </c>
      <c r="C82" s="21">
        <v>15.0</v>
      </c>
      <c r="E82" s="19"/>
      <c r="F82" s="5"/>
      <c r="H82" s="19"/>
      <c r="Q82" s="5"/>
    </row>
    <row r="83">
      <c r="A83" s="39">
        <v>45260.0</v>
      </c>
      <c r="B83" s="4" t="s">
        <v>140</v>
      </c>
      <c r="C83" s="21">
        <v>9.6</v>
      </c>
      <c r="E83" s="19"/>
      <c r="F83" s="5"/>
      <c r="H83" s="19"/>
      <c r="Q83" s="5"/>
    </row>
    <row r="84">
      <c r="A84" s="39"/>
      <c r="C84" s="21"/>
      <c r="E84" s="19"/>
      <c r="F84" s="5"/>
      <c r="H84" s="19"/>
      <c r="Q84" s="5"/>
    </row>
    <row r="85">
      <c r="A85" s="39"/>
      <c r="C85" s="21"/>
      <c r="E85" s="19"/>
      <c r="F85" s="5"/>
      <c r="H85" s="19"/>
      <c r="Q85" s="5"/>
    </row>
    <row r="86">
      <c r="A86" s="39"/>
      <c r="C86" s="21"/>
      <c r="E86" s="19"/>
      <c r="F86" s="5"/>
      <c r="H86" s="19"/>
      <c r="Q86" s="5"/>
    </row>
    <row r="87">
      <c r="A87" s="39"/>
      <c r="C87" s="21"/>
      <c r="E87" s="19"/>
      <c r="F87" s="5"/>
      <c r="H87" s="19"/>
      <c r="Q87" s="5"/>
    </row>
    <row r="88">
      <c r="A88" s="39"/>
      <c r="C88" s="21"/>
      <c r="E88" s="19"/>
      <c r="F88" s="5"/>
      <c r="H88" s="19"/>
      <c r="Q88" s="5"/>
    </row>
    <row r="89">
      <c r="A89" s="39"/>
      <c r="C89" s="21"/>
      <c r="E89" s="19"/>
      <c r="F89" s="5"/>
      <c r="H89" s="19"/>
      <c r="Q89" s="5"/>
    </row>
    <row r="90">
      <c r="A90" s="39"/>
      <c r="C90" s="21"/>
      <c r="E90" s="19"/>
      <c r="F90" s="5"/>
      <c r="H90" s="19"/>
      <c r="Q90" s="5"/>
    </row>
    <row r="91">
      <c r="A91" s="39"/>
      <c r="C91" s="21"/>
      <c r="E91" s="19"/>
      <c r="F91" s="5"/>
      <c r="H91" s="19"/>
      <c r="Q91" s="5"/>
    </row>
    <row r="92">
      <c r="A92" s="39"/>
      <c r="C92" s="21"/>
      <c r="E92" s="19"/>
      <c r="F92" s="5"/>
      <c r="H92" s="19"/>
      <c r="Q92" s="5"/>
    </row>
    <row r="93">
      <c r="A93" s="39"/>
      <c r="C93" s="21"/>
      <c r="E93" s="19"/>
      <c r="F93" s="5"/>
      <c r="H93" s="19"/>
      <c r="Q93" s="5"/>
    </row>
    <row r="94">
      <c r="A94" s="39"/>
      <c r="C94" s="21"/>
      <c r="E94" s="19"/>
      <c r="F94" s="5"/>
      <c r="H94" s="19"/>
      <c r="Q94" s="5"/>
    </row>
    <row r="95">
      <c r="A95" s="39"/>
      <c r="C95" s="21"/>
      <c r="E95" s="19"/>
      <c r="F95" s="5"/>
      <c r="H95" s="19"/>
      <c r="Q95" s="5"/>
    </row>
    <row r="96">
      <c r="A96" s="39"/>
      <c r="C96" s="21"/>
      <c r="E96" s="19"/>
      <c r="F96" s="5"/>
      <c r="H96" s="19"/>
      <c r="Q96" s="5"/>
    </row>
    <row r="97">
      <c r="A97" s="39"/>
      <c r="C97" s="21"/>
      <c r="E97" s="19"/>
      <c r="F97" s="5"/>
      <c r="H97" s="19"/>
      <c r="Q97" s="5"/>
    </row>
    <row r="98">
      <c r="A98" s="39"/>
      <c r="C98" s="21"/>
      <c r="E98" s="19"/>
      <c r="F98" s="5"/>
      <c r="H98" s="19"/>
      <c r="Q98" s="5"/>
    </row>
    <row r="99">
      <c r="A99" s="39"/>
      <c r="C99" s="21"/>
      <c r="E99" s="19"/>
      <c r="F99" s="5"/>
      <c r="H99" s="19"/>
      <c r="Q99" s="5"/>
    </row>
    <row r="100">
      <c r="A100" s="44"/>
      <c r="C100" s="5"/>
      <c r="E100" s="19"/>
      <c r="F100" s="5"/>
      <c r="H100" s="19"/>
      <c r="Q100" s="5"/>
    </row>
    <row r="101">
      <c r="A101" s="44"/>
      <c r="C101" s="5"/>
      <c r="E101" s="19"/>
      <c r="F101" s="5"/>
      <c r="H101" s="19"/>
      <c r="Q101" s="5"/>
    </row>
    <row r="102">
      <c r="A102" s="44"/>
      <c r="C102" s="5"/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39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Q1:Q1000">
    <cfRule type="cellIs" dxfId="0" priority="1" operator="lessThan">
      <formula>20</formula>
    </cfRule>
  </conditionalFormatting>
  <conditionalFormatting sqref="Q1:Q1000">
    <cfRule type="cellIs" dxfId="6" priority="2" operator="lessThan">
      <formula>30</formula>
    </cfRule>
  </conditionalFormatting>
  <conditionalFormatting sqref="Q1:Q1000">
    <cfRule type="cellIs" dxfId="1" priority="3" operator="greaterThanOrEqual">
      <formula>30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1">
    <cfRule type="cellIs" dxfId="3" priority="6" operator="greaterThan">
      <formula>0</formula>
    </cfRule>
  </conditionalFormatting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144.14</v>
      </c>
      <c r="H1" s="1" t="s">
        <v>46</v>
      </c>
      <c r="I1" s="5">
        <f>I5-I6</f>
        <v>-3.38</v>
      </c>
      <c r="J1" s="19"/>
      <c r="K1" s="1" t="s">
        <v>47</v>
      </c>
      <c r="L1" s="5">
        <f t="shared" ref="L1:L4" si="1">SUMIF(B:B,K1,C:I)</f>
        <v>105.54</v>
      </c>
      <c r="M1" s="19"/>
      <c r="N1" s="1" t="s">
        <v>48</v>
      </c>
      <c r="O1" s="1" t="s">
        <v>10</v>
      </c>
      <c r="P1" s="1" t="s">
        <v>49</v>
      </c>
      <c r="Q1" s="16" t="s">
        <v>50</v>
      </c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45200.0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11.85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16.24</v>
      </c>
      <c r="N2" s="39">
        <v>45200.0</v>
      </c>
      <c r="O2" s="5">
        <f>sumif(A:A,N2,C:C)-SUM(C2,C3,C4,C5)</f>
        <v>51</v>
      </c>
      <c r="P2" s="5">
        <f>SUM(O2)</f>
        <v>51</v>
      </c>
      <c r="Q2" s="5">
        <f t="shared" ref="Q2:Q32" si="2">P2/(ROW()-1)</f>
        <v>51</v>
      </c>
    </row>
    <row r="3">
      <c r="A3" s="39">
        <v>45200.0</v>
      </c>
      <c r="B3" s="4" t="s">
        <v>6</v>
      </c>
      <c r="C3" s="21">
        <v>250.0</v>
      </c>
      <c r="E3" s="1" t="s">
        <v>209</v>
      </c>
      <c r="F3" s="5">
        <f>SUMIF(B:B,"Pret",C:C)+SUMIF(B:B,"Breakfast",C:C)</f>
        <v>18.62</v>
      </c>
      <c r="H3" s="1" t="s">
        <v>8</v>
      </c>
      <c r="I3" s="5">
        <f>SUMIF(B:B,H3,C:C)+I1</f>
        <v>246.62</v>
      </c>
      <c r="K3" s="1" t="s">
        <v>56</v>
      </c>
      <c r="L3" s="5">
        <f t="shared" si="1"/>
        <v>21.05</v>
      </c>
      <c r="N3" s="39">
        <v>45201.0</v>
      </c>
      <c r="O3" s="40">
        <f t="shared" ref="O3:O32" si="3">sumif(A:A,N3,C:C)</f>
        <v>31.14</v>
      </c>
      <c r="P3" s="5">
        <f t="shared" ref="P3:P32" si="4">P2+O3</f>
        <v>82.14</v>
      </c>
      <c r="Q3" s="5">
        <f t="shared" si="2"/>
        <v>41.07</v>
      </c>
    </row>
    <row r="4">
      <c r="A4" s="39">
        <v>45200.0</v>
      </c>
      <c r="B4" s="4" t="s">
        <v>54</v>
      </c>
      <c r="C4" s="41">
        <v>1105.0</v>
      </c>
      <c r="E4" s="1" t="s">
        <v>140</v>
      </c>
      <c r="F4" s="5">
        <f t="shared" ref="F4:F5" si="5">SUMIF(B:B,E4,C:C)</f>
        <v>52.9</v>
      </c>
      <c r="K4" s="1" t="s">
        <v>59</v>
      </c>
      <c r="L4" s="5">
        <f t="shared" si="1"/>
        <v>48.48</v>
      </c>
      <c r="N4" s="39">
        <v>45202.0</v>
      </c>
      <c r="O4" s="40">
        <f t="shared" si="3"/>
        <v>43.53</v>
      </c>
      <c r="P4" s="5">
        <f t="shared" si="4"/>
        <v>125.67</v>
      </c>
      <c r="Q4" s="5">
        <f t="shared" si="2"/>
        <v>41.89</v>
      </c>
    </row>
    <row r="5">
      <c r="A5" s="39">
        <v>45200.0</v>
      </c>
      <c r="B5" s="4" t="s">
        <v>252</v>
      </c>
      <c r="C5" s="21">
        <v>40.81</v>
      </c>
      <c r="E5" s="1" t="s">
        <v>436</v>
      </c>
      <c r="F5" s="5">
        <f t="shared" si="5"/>
        <v>92.97</v>
      </c>
      <c r="H5" s="1" t="s">
        <v>65</v>
      </c>
      <c r="I5" s="49">
        <v>2570.76</v>
      </c>
      <c r="N5" s="39">
        <v>45203.0</v>
      </c>
      <c r="O5" s="40">
        <f t="shared" si="3"/>
        <v>18</v>
      </c>
      <c r="P5" s="5">
        <f t="shared" si="4"/>
        <v>143.67</v>
      </c>
      <c r="Q5" s="5">
        <f t="shared" si="2"/>
        <v>35.9175</v>
      </c>
    </row>
    <row r="6">
      <c r="A6" s="39">
        <v>45200.0</v>
      </c>
      <c r="B6" s="4" t="s">
        <v>140</v>
      </c>
      <c r="C6" s="21">
        <v>17.0</v>
      </c>
      <c r="E6" s="1" t="s">
        <v>57</v>
      </c>
      <c r="F6" s="5">
        <f>sum(L:L)</f>
        <v>191.31</v>
      </c>
      <c r="H6" s="1" t="s">
        <v>68</v>
      </c>
      <c r="I6" s="5">
        <f>sum(C:C)</f>
        <v>2574.14</v>
      </c>
      <c r="N6" s="39">
        <v>45204.0</v>
      </c>
      <c r="O6" s="40">
        <f t="shared" si="3"/>
        <v>58.65</v>
      </c>
      <c r="P6" s="5">
        <f t="shared" si="4"/>
        <v>202.32</v>
      </c>
      <c r="Q6" s="5">
        <f t="shared" si="2"/>
        <v>40.464</v>
      </c>
    </row>
    <row r="7">
      <c r="A7" s="39">
        <v>45200.0</v>
      </c>
      <c r="B7" s="4" t="s">
        <v>45</v>
      </c>
      <c r="C7" s="21">
        <v>13.0</v>
      </c>
      <c r="E7" s="42" t="s">
        <v>61</v>
      </c>
      <c r="F7" s="5">
        <f>SUMIF(B:B,"Games",C:C)+SUMIF(B:B,"Spotify",C:C)+SUMIF(B:B,"Disney+",C:C)+SUMIF(B:B,"Book",C:C)+SUMIF(B:B,"Audible",C:C)+SUMIF(B:B,"Youtube Premium",C:C)</f>
        <v>27.58</v>
      </c>
      <c r="H7" s="1" t="s">
        <v>72</v>
      </c>
      <c r="I7" s="5">
        <f>sum(F:F)+I2+C2</f>
        <v>2361.04</v>
      </c>
      <c r="N7" s="39">
        <v>45205.0</v>
      </c>
      <c r="O7" s="40">
        <f t="shared" si="3"/>
        <v>24.54</v>
      </c>
      <c r="P7" s="5">
        <f t="shared" si="4"/>
        <v>226.86</v>
      </c>
      <c r="Q7" s="5">
        <f t="shared" si="2"/>
        <v>37.81</v>
      </c>
    </row>
    <row r="8">
      <c r="A8" s="39">
        <v>45200.0</v>
      </c>
      <c r="B8" s="4" t="s">
        <v>164</v>
      </c>
      <c r="C8" s="21">
        <v>15.5</v>
      </c>
      <c r="E8" s="1" t="s">
        <v>64</v>
      </c>
      <c r="F8" s="5">
        <f>SUMIF(B:B,E8,C:C)+SUMIF(B:B,"Shoes",C:C)</f>
        <v>0</v>
      </c>
      <c r="H8" s="1" t="s">
        <v>74</v>
      </c>
      <c r="I8" s="5">
        <f>I6-I7</f>
        <v>213.1</v>
      </c>
      <c r="N8" s="39">
        <v>45206.0</v>
      </c>
      <c r="O8" s="40">
        <f t="shared" si="3"/>
        <v>28</v>
      </c>
      <c r="P8" s="5">
        <f t="shared" si="4"/>
        <v>254.86</v>
      </c>
      <c r="Q8" s="5">
        <f t="shared" si="2"/>
        <v>36.40857143</v>
      </c>
    </row>
    <row r="9">
      <c r="A9" s="39">
        <v>45200.0</v>
      </c>
      <c r="B9" s="4" t="s">
        <v>127</v>
      </c>
      <c r="C9" s="21">
        <v>5.5</v>
      </c>
      <c r="E9" s="1" t="s">
        <v>54</v>
      </c>
      <c r="F9" s="5">
        <f>SUMIF(B:B,E9,C:C)+SUMIF(B:B,"Phone",C:C)</f>
        <v>1145.81</v>
      </c>
      <c r="H9" s="1"/>
      <c r="N9" s="39">
        <v>45207.0</v>
      </c>
      <c r="O9" s="40">
        <f t="shared" si="3"/>
        <v>3.8</v>
      </c>
      <c r="P9" s="5">
        <f t="shared" si="4"/>
        <v>258.66</v>
      </c>
      <c r="Q9" s="5">
        <f t="shared" si="2"/>
        <v>32.3325</v>
      </c>
    </row>
    <row r="10">
      <c r="A10" s="39">
        <v>45201.0</v>
      </c>
      <c r="B10" s="4" t="s">
        <v>209</v>
      </c>
      <c r="C10" s="21">
        <v>5.29</v>
      </c>
      <c r="E10" s="1" t="s">
        <v>127</v>
      </c>
      <c r="F10" s="5">
        <f>SUMIF(B:B,E10,C:C)</f>
        <v>77</v>
      </c>
      <c r="H10" s="53" t="s">
        <v>3</v>
      </c>
      <c r="I10" s="54">
        <f>(I3+I2)/I5</f>
        <v>0.1931802269</v>
      </c>
      <c r="N10" s="39">
        <v>45208.0</v>
      </c>
      <c r="O10" s="40">
        <f t="shared" si="3"/>
        <v>16.38</v>
      </c>
      <c r="P10" s="5">
        <f t="shared" si="4"/>
        <v>275.04</v>
      </c>
      <c r="Q10" s="5">
        <f t="shared" si="2"/>
        <v>30.56</v>
      </c>
    </row>
    <row r="11">
      <c r="A11" s="39">
        <v>45201.0</v>
      </c>
      <c r="B11" s="4" t="s">
        <v>117</v>
      </c>
      <c r="C11" s="21">
        <v>10.0</v>
      </c>
      <c r="E11" s="1" t="s">
        <v>164</v>
      </c>
      <c r="F11" s="48">
        <f>SUMIF(B:B,"Cigs",C:C)</f>
        <v>43.49</v>
      </c>
      <c r="N11" s="39">
        <v>45209.0</v>
      </c>
      <c r="O11" s="40">
        <f t="shared" si="3"/>
        <v>96.67</v>
      </c>
      <c r="P11" s="5">
        <f t="shared" si="4"/>
        <v>371.71</v>
      </c>
      <c r="Q11" s="5">
        <f t="shared" si="2"/>
        <v>37.171</v>
      </c>
    </row>
    <row r="12">
      <c r="A12" s="39">
        <v>45201.0</v>
      </c>
      <c r="B12" s="4" t="s">
        <v>154</v>
      </c>
      <c r="C12" s="21">
        <v>8.0</v>
      </c>
      <c r="E12" s="1" t="s">
        <v>73</v>
      </c>
      <c r="F12" s="5">
        <f>SUMIF(B:B,"Uber",C:C)</f>
        <v>55.37</v>
      </c>
      <c r="N12" s="39">
        <v>45210.0</v>
      </c>
      <c r="O12" s="40">
        <f t="shared" si="3"/>
        <v>16.95</v>
      </c>
      <c r="P12" s="5">
        <f t="shared" si="4"/>
        <v>388.66</v>
      </c>
      <c r="Q12" s="5">
        <f t="shared" si="2"/>
        <v>35.33272727</v>
      </c>
    </row>
    <row r="13">
      <c r="A13" s="39">
        <v>45201.0</v>
      </c>
      <c r="B13" s="4" t="s">
        <v>127</v>
      </c>
      <c r="C13" s="21">
        <v>3.6</v>
      </c>
      <c r="E13" s="1" t="s">
        <v>75</v>
      </c>
      <c r="F13" s="40">
        <f>SUMIF(B:B,"Gym",C:C)+SUMIF(B:B,"Climbing",C:C)</f>
        <v>0</v>
      </c>
      <c r="N13" s="39">
        <v>45211.0</v>
      </c>
      <c r="O13" s="40">
        <f t="shared" si="3"/>
        <v>23.09</v>
      </c>
      <c r="P13" s="5">
        <f t="shared" si="4"/>
        <v>411.75</v>
      </c>
      <c r="Q13" s="5">
        <f t="shared" si="2"/>
        <v>34.3125</v>
      </c>
    </row>
    <row r="14">
      <c r="A14" s="39">
        <v>45201.0</v>
      </c>
      <c r="B14" s="4" t="s">
        <v>140</v>
      </c>
      <c r="C14" s="21">
        <v>4.25</v>
      </c>
      <c r="H14" s="19"/>
      <c r="N14" s="39">
        <v>45212.0</v>
      </c>
      <c r="O14" s="40">
        <f t="shared" si="3"/>
        <v>23.19</v>
      </c>
      <c r="P14" s="5">
        <f t="shared" si="4"/>
        <v>434.94</v>
      </c>
      <c r="Q14" s="5">
        <f t="shared" si="2"/>
        <v>33.45692308</v>
      </c>
    </row>
    <row r="15">
      <c r="A15" s="39">
        <v>45202.0</v>
      </c>
      <c r="B15" s="4" t="s">
        <v>437</v>
      </c>
      <c r="C15" s="21">
        <v>7.03</v>
      </c>
      <c r="H15" s="19"/>
      <c r="N15" s="39">
        <v>45213.0</v>
      </c>
      <c r="O15" s="40">
        <f t="shared" si="3"/>
        <v>35.2</v>
      </c>
      <c r="P15" s="5">
        <f t="shared" si="4"/>
        <v>470.14</v>
      </c>
      <c r="Q15" s="5">
        <f t="shared" si="2"/>
        <v>33.58142857</v>
      </c>
    </row>
    <row r="16">
      <c r="A16" s="39">
        <v>45202.0</v>
      </c>
      <c r="B16" s="4" t="s">
        <v>127</v>
      </c>
      <c r="C16" s="21">
        <v>6.8</v>
      </c>
      <c r="H16" s="19"/>
      <c r="N16" s="39">
        <v>45214.0</v>
      </c>
      <c r="O16" s="40">
        <f t="shared" si="3"/>
        <v>8.58</v>
      </c>
      <c r="P16" s="5">
        <f t="shared" si="4"/>
        <v>478.72</v>
      </c>
      <c r="Q16" s="5">
        <f t="shared" si="2"/>
        <v>31.91466667</v>
      </c>
    </row>
    <row r="17">
      <c r="A17" s="39">
        <v>45202.0</v>
      </c>
      <c r="B17" s="4" t="s">
        <v>59</v>
      </c>
      <c r="C17" s="21">
        <f>31.6-1.9</f>
        <v>29.7</v>
      </c>
      <c r="H17" s="19"/>
      <c r="N17" s="39">
        <v>45215.0</v>
      </c>
      <c r="O17" s="40">
        <f t="shared" si="3"/>
        <v>6</v>
      </c>
      <c r="P17" s="5">
        <f t="shared" si="4"/>
        <v>484.72</v>
      </c>
      <c r="Q17" s="5">
        <f t="shared" si="2"/>
        <v>30.295</v>
      </c>
    </row>
    <row r="18">
      <c r="A18" s="39">
        <v>45203.0</v>
      </c>
      <c r="B18" s="4" t="s">
        <v>47</v>
      </c>
      <c r="C18" s="21">
        <v>18.0</v>
      </c>
      <c r="H18" s="19"/>
      <c r="N18" s="39">
        <v>45216.0</v>
      </c>
      <c r="O18" s="40">
        <f t="shared" si="3"/>
        <v>47.67</v>
      </c>
      <c r="P18" s="5">
        <f t="shared" si="4"/>
        <v>532.39</v>
      </c>
      <c r="Q18" s="5">
        <f t="shared" si="2"/>
        <v>31.31705882</v>
      </c>
    </row>
    <row r="19">
      <c r="A19" s="39">
        <v>45204.0</v>
      </c>
      <c r="B19" s="4" t="s">
        <v>110</v>
      </c>
      <c r="C19" s="21">
        <v>38.5</v>
      </c>
      <c r="H19" s="19"/>
      <c r="N19" s="39">
        <v>45217.0</v>
      </c>
      <c r="O19" s="40">
        <f t="shared" si="3"/>
        <v>19.7</v>
      </c>
      <c r="P19" s="5">
        <f t="shared" si="4"/>
        <v>552.09</v>
      </c>
      <c r="Q19" s="5">
        <f t="shared" si="2"/>
        <v>30.67166667</v>
      </c>
    </row>
    <row r="20">
      <c r="A20" s="39">
        <v>45204.0</v>
      </c>
      <c r="B20" s="4" t="s">
        <v>56</v>
      </c>
      <c r="C20" s="21">
        <v>3.2</v>
      </c>
      <c r="E20" s="19"/>
      <c r="F20" s="5"/>
      <c r="H20" s="19"/>
      <c r="N20" s="39">
        <v>45218.0</v>
      </c>
      <c r="O20" s="40">
        <f t="shared" si="3"/>
        <v>2.15</v>
      </c>
      <c r="P20" s="5">
        <f t="shared" si="4"/>
        <v>554.24</v>
      </c>
      <c r="Q20" s="5">
        <f t="shared" si="2"/>
        <v>29.17052632</v>
      </c>
    </row>
    <row r="21">
      <c r="A21" s="39">
        <v>45204.0</v>
      </c>
      <c r="B21" s="4" t="s">
        <v>399</v>
      </c>
      <c r="C21" s="21">
        <v>16.95</v>
      </c>
      <c r="E21" s="19"/>
      <c r="F21" s="5"/>
      <c r="H21" s="19"/>
      <c r="N21" s="39">
        <v>45219.0</v>
      </c>
      <c r="O21" s="40">
        <f t="shared" si="3"/>
        <v>11.85</v>
      </c>
      <c r="P21" s="5">
        <f t="shared" si="4"/>
        <v>566.09</v>
      </c>
      <c r="Q21" s="5">
        <f t="shared" si="2"/>
        <v>28.3045</v>
      </c>
    </row>
    <row r="22">
      <c r="A22" s="39">
        <v>45205.0</v>
      </c>
      <c r="B22" s="4" t="s">
        <v>127</v>
      </c>
      <c r="C22" s="21">
        <v>6.8</v>
      </c>
      <c r="E22" s="19"/>
      <c r="F22" s="5"/>
      <c r="H22" s="19"/>
      <c r="N22" s="39">
        <v>45220.0</v>
      </c>
      <c r="O22" s="40">
        <f t="shared" si="3"/>
        <v>90.13</v>
      </c>
      <c r="P22" s="5">
        <f t="shared" si="4"/>
        <v>656.22</v>
      </c>
      <c r="Q22" s="5">
        <f t="shared" si="2"/>
        <v>31.24857143</v>
      </c>
    </row>
    <row r="23">
      <c r="A23" s="39">
        <v>45205.0</v>
      </c>
      <c r="B23" s="4" t="s">
        <v>140</v>
      </c>
      <c r="C23" s="21">
        <v>7.75</v>
      </c>
      <c r="E23" s="19"/>
      <c r="F23" s="5"/>
      <c r="H23" s="19"/>
      <c r="N23" s="39">
        <v>45221.0</v>
      </c>
      <c r="O23" s="40">
        <f t="shared" si="3"/>
        <v>16.45</v>
      </c>
      <c r="P23" s="5">
        <f t="shared" si="4"/>
        <v>672.67</v>
      </c>
      <c r="Q23" s="5">
        <f t="shared" si="2"/>
        <v>30.57590909</v>
      </c>
    </row>
    <row r="24">
      <c r="A24" s="39">
        <v>45205.0</v>
      </c>
      <c r="B24" s="4" t="s">
        <v>230</v>
      </c>
      <c r="C24" s="21">
        <v>9.99</v>
      </c>
      <c r="E24" s="19"/>
      <c r="F24" s="5"/>
      <c r="H24" s="19"/>
      <c r="N24" s="39">
        <v>45222.0</v>
      </c>
      <c r="O24" s="40">
        <f t="shared" si="3"/>
        <v>0</v>
      </c>
      <c r="P24" s="5">
        <f t="shared" si="4"/>
        <v>672.67</v>
      </c>
      <c r="Q24" s="5">
        <f t="shared" si="2"/>
        <v>29.24652174</v>
      </c>
    </row>
    <row r="25">
      <c r="A25" s="39">
        <v>45206.0</v>
      </c>
      <c r="B25" s="4" t="s">
        <v>438</v>
      </c>
      <c r="C25" s="21">
        <v>2.0</v>
      </c>
      <c r="E25" s="19"/>
      <c r="F25" s="5"/>
      <c r="H25" s="19"/>
      <c r="N25" s="39">
        <v>45223.0</v>
      </c>
      <c r="O25" s="40">
        <f t="shared" si="3"/>
        <v>25.98</v>
      </c>
      <c r="P25" s="5">
        <f t="shared" si="4"/>
        <v>698.65</v>
      </c>
      <c r="Q25" s="5">
        <f t="shared" si="2"/>
        <v>29.11041667</v>
      </c>
    </row>
    <row r="26">
      <c r="A26" s="39">
        <v>45206.0</v>
      </c>
      <c r="B26" s="4" t="s">
        <v>210</v>
      </c>
      <c r="C26" s="21">
        <v>26.0</v>
      </c>
      <c r="E26" s="19"/>
      <c r="F26" s="5"/>
      <c r="H26" s="19"/>
      <c r="N26" s="39">
        <v>45224.0</v>
      </c>
      <c r="O26" s="40">
        <f t="shared" si="3"/>
        <v>38</v>
      </c>
      <c r="P26" s="5">
        <f t="shared" si="4"/>
        <v>736.65</v>
      </c>
      <c r="Q26" s="5">
        <f t="shared" si="2"/>
        <v>29.466</v>
      </c>
    </row>
    <row r="27">
      <c r="A27" s="39">
        <v>45207.0</v>
      </c>
      <c r="B27" s="4" t="s">
        <v>127</v>
      </c>
      <c r="C27" s="21">
        <v>3.8</v>
      </c>
      <c r="E27" s="19"/>
      <c r="F27" s="5"/>
      <c r="H27" s="19"/>
      <c r="N27" s="39">
        <v>45225.0</v>
      </c>
      <c r="O27" s="40">
        <f t="shared" si="3"/>
        <v>28.02</v>
      </c>
      <c r="P27" s="5">
        <f t="shared" si="4"/>
        <v>764.67</v>
      </c>
      <c r="Q27" s="5">
        <f t="shared" si="2"/>
        <v>29.41038462</v>
      </c>
    </row>
    <row r="28">
      <c r="A28" s="39">
        <v>45208.0</v>
      </c>
      <c r="B28" s="4" t="s">
        <v>267</v>
      </c>
      <c r="C28" s="21">
        <v>3.79</v>
      </c>
      <c r="E28" s="19"/>
      <c r="F28" s="5"/>
      <c r="H28" s="19"/>
      <c r="N28" s="39">
        <v>45226.0</v>
      </c>
      <c r="O28" s="40">
        <f t="shared" si="3"/>
        <v>36.23</v>
      </c>
      <c r="P28" s="5">
        <f t="shared" si="4"/>
        <v>800.9</v>
      </c>
      <c r="Q28" s="5">
        <f t="shared" si="2"/>
        <v>29.66296296</v>
      </c>
    </row>
    <row r="29">
      <c r="A29" s="39">
        <v>45208.0</v>
      </c>
      <c r="B29" s="4" t="s">
        <v>47</v>
      </c>
      <c r="C29" s="21">
        <v>12.59</v>
      </c>
      <c r="E29" s="19"/>
      <c r="F29" s="5"/>
      <c r="H29" s="19"/>
      <c r="N29" s="39">
        <v>45227.0</v>
      </c>
      <c r="O29" s="40">
        <f t="shared" si="3"/>
        <v>102.59</v>
      </c>
      <c r="P29" s="5">
        <f t="shared" si="4"/>
        <v>903.49</v>
      </c>
      <c r="Q29" s="5">
        <f t="shared" si="2"/>
        <v>32.2675</v>
      </c>
    </row>
    <row r="30">
      <c r="A30" s="39">
        <v>45209.0</v>
      </c>
      <c r="B30" s="4" t="s">
        <v>439</v>
      </c>
      <c r="C30" s="21">
        <v>39.9</v>
      </c>
      <c r="E30" s="19"/>
      <c r="F30" s="5"/>
      <c r="H30" s="19"/>
      <c r="N30" s="39">
        <v>45228.0</v>
      </c>
      <c r="O30" s="40">
        <f t="shared" si="3"/>
        <v>9.14</v>
      </c>
      <c r="P30" s="5">
        <f t="shared" si="4"/>
        <v>912.63</v>
      </c>
      <c r="Q30" s="5">
        <f t="shared" si="2"/>
        <v>31.47</v>
      </c>
    </row>
    <row r="31">
      <c r="A31" s="39">
        <v>45209.0</v>
      </c>
      <c r="B31" s="4" t="s">
        <v>440</v>
      </c>
      <c r="C31" s="21">
        <v>46.98</v>
      </c>
      <c r="E31" s="19"/>
      <c r="F31" s="5"/>
      <c r="H31" s="19"/>
      <c r="N31" s="39">
        <v>45229.0</v>
      </c>
      <c r="O31" s="40">
        <f t="shared" si="3"/>
        <v>4.6</v>
      </c>
      <c r="P31" s="5">
        <f t="shared" si="4"/>
        <v>917.23</v>
      </c>
      <c r="Q31" s="5">
        <f t="shared" si="2"/>
        <v>30.57433333</v>
      </c>
    </row>
    <row r="32">
      <c r="A32" s="39">
        <v>45209.0</v>
      </c>
      <c r="B32" s="4" t="s">
        <v>372</v>
      </c>
      <c r="C32" s="21">
        <v>1.0</v>
      </c>
      <c r="E32" s="19"/>
      <c r="F32" s="5"/>
      <c r="H32" s="19"/>
      <c r="N32" s="39">
        <v>45230.0</v>
      </c>
      <c r="O32" s="40">
        <f t="shared" si="3"/>
        <v>11.1</v>
      </c>
      <c r="P32" s="5">
        <f t="shared" si="4"/>
        <v>928.33</v>
      </c>
      <c r="Q32" s="5">
        <f t="shared" si="2"/>
        <v>29.94612903</v>
      </c>
    </row>
    <row r="33">
      <c r="A33" s="39">
        <v>45209.0</v>
      </c>
      <c r="B33" s="4" t="s">
        <v>209</v>
      </c>
      <c r="C33" s="41">
        <v>5.29</v>
      </c>
      <c r="E33" s="19"/>
      <c r="F33" s="5"/>
      <c r="H33" s="19"/>
      <c r="Q33" s="5"/>
    </row>
    <row r="34">
      <c r="A34" s="39">
        <v>45209.0</v>
      </c>
      <c r="B34" s="4" t="s">
        <v>56</v>
      </c>
      <c r="C34" s="21">
        <v>3.5</v>
      </c>
      <c r="E34" s="19"/>
      <c r="F34" s="5"/>
      <c r="H34" s="19"/>
      <c r="Q34" s="5"/>
    </row>
    <row r="35">
      <c r="A35" s="39">
        <v>45210.0</v>
      </c>
      <c r="B35" s="4" t="s">
        <v>127</v>
      </c>
      <c r="C35" s="21">
        <v>6.2</v>
      </c>
      <c r="E35" s="19"/>
      <c r="F35" s="5"/>
      <c r="H35" s="19"/>
      <c r="Q35" s="5"/>
    </row>
    <row r="36">
      <c r="A36" s="39">
        <v>45210.0</v>
      </c>
      <c r="B36" s="4" t="s">
        <v>47</v>
      </c>
      <c r="C36" s="21">
        <v>10.75</v>
      </c>
      <c r="E36" s="19"/>
      <c r="F36" s="5"/>
      <c r="H36" s="19"/>
      <c r="Q36" s="5"/>
    </row>
    <row r="37">
      <c r="A37" s="39">
        <v>45211.0</v>
      </c>
      <c r="B37" s="4" t="s">
        <v>47</v>
      </c>
      <c r="C37" s="21">
        <v>9.3</v>
      </c>
      <c r="E37" s="19"/>
      <c r="F37" s="5"/>
      <c r="H37" s="19"/>
      <c r="Q37" s="5"/>
    </row>
    <row r="38">
      <c r="A38" s="39">
        <v>45211.0</v>
      </c>
      <c r="B38" s="4" t="s">
        <v>441</v>
      </c>
      <c r="C38" s="21">
        <v>13.79</v>
      </c>
      <c r="E38" s="19"/>
      <c r="F38" s="5"/>
      <c r="H38" s="19"/>
      <c r="Q38" s="5"/>
    </row>
    <row r="39">
      <c r="A39" s="39">
        <v>45212.0</v>
      </c>
      <c r="B39" s="4" t="s">
        <v>210</v>
      </c>
      <c r="C39" s="21">
        <v>10.2</v>
      </c>
      <c r="E39" s="19"/>
      <c r="F39" s="5"/>
      <c r="H39" s="19"/>
      <c r="Q39" s="5"/>
    </row>
    <row r="40">
      <c r="A40" s="39">
        <v>45212.0</v>
      </c>
      <c r="B40" s="4" t="s">
        <v>418</v>
      </c>
      <c r="C40" s="21">
        <v>12.99</v>
      </c>
      <c r="E40" s="19"/>
      <c r="F40" s="5"/>
      <c r="H40" s="19"/>
      <c r="Q40" s="5"/>
    </row>
    <row r="41">
      <c r="A41" s="39">
        <v>45213.0</v>
      </c>
      <c r="B41" s="4" t="s">
        <v>45</v>
      </c>
      <c r="C41" s="21">
        <v>7.3</v>
      </c>
      <c r="E41" s="19"/>
      <c r="F41" s="5"/>
      <c r="H41" s="19"/>
      <c r="Q41" s="5"/>
    </row>
    <row r="42">
      <c r="A42" s="39">
        <v>45213.0</v>
      </c>
      <c r="B42" s="4" t="s">
        <v>140</v>
      </c>
      <c r="C42" s="21">
        <v>12.0</v>
      </c>
      <c r="E42" s="19"/>
      <c r="F42" s="5"/>
      <c r="H42" s="19"/>
      <c r="Q42" s="5"/>
    </row>
    <row r="43">
      <c r="A43" s="39">
        <v>45213.0</v>
      </c>
      <c r="B43" s="4" t="s">
        <v>45</v>
      </c>
      <c r="C43" s="21">
        <v>15.9</v>
      </c>
      <c r="E43" s="19"/>
      <c r="F43" s="5"/>
      <c r="H43" s="19"/>
      <c r="Q43" s="5"/>
    </row>
    <row r="44">
      <c r="A44" s="39">
        <v>45214.0</v>
      </c>
      <c r="B44" s="4" t="s">
        <v>127</v>
      </c>
      <c r="C44" s="21">
        <v>1.8</v>
      </c>
      <c r="E44" s="19"/>
      <c r="F44" s="5"/>
      <c r="H44" s="19"/>
      <c r="Q44" s="5"/>
    </row>
    <row r="45">
      <c r="A45" s="39">
        <v>45214.0</v>
      </c>
      <c r="B45" s="4" t="s">
        <v>442</v>
      </c>
      <c r="C45" s="21">
        <v>1.55</v>
      </c>
      <c r="E45" s="19"/>
      <c r="F45" s="5"/>
      <c r="H45" s="19"/>
      <c r="Q45" s="5"/>
    </row>
    <row r="46">
      <c r="A46" s="39">
        <v>45214.0</v>
      </c>
      <c r="B46" s="4" t="s">
        <v>101</v>
      </c>
      <c r="C46" s="21">
        <v>5.23</v>
      </c>
      <c r="E46" s="19"/>
      <c r="F46" s="5"/>
      <c r="H46" s="19"/>
      <c r="Q46" s="5"/>
    </row>
    <row r="47">
      <c r="A47" s="39">
        <v>45215.0</v>
      </c>
      <c r="B47" s="4" t="s">
        <v>127</v>
      </c>
      <c r="C47" s="21">
        <v>1.9</v>
      </c>
      <c r="E47" s="19"/>
      <c r="F47" s="5"/>
      <c r="H47" s="19"/>
      <c r="Q47" s="5"/>
    </row>
    <row r="48">
      <c r="A48" s="39">
        <v>45215.0</v>
      </c>
      <c r="B48" s="4" t="s">
        <v>47</v>
      </c>
      <c r="C48" s="21">
        <v>4.1</v>
      </c>
      <c r="E48" s="19"/>
      <c r="F48" s="5"/>
      <c r="H48" s="19"/>
      <c r="Q48" s="5"/>
    </row>
    <row r="49">
      <c r="A49" s="39">
        <v>45216.0</v>
      </c>
      <c r="B49" s="4" t="s">
        <v>210</v>
      </c>
      <c r="C49" s="21">
        <v>32.27</v>
      </c>
      <c r="E49" s="19"/>
      <c r="F49" s="5"/>
      <c r="H49" s="19"/>
      <c r="Q49" s="5"/>
    </row>
    <row r="50">
      <c r="A50" s="39">
        <v>45216.0</v>
      </c>
      <c r="B50" s="4" t="s">
        <v>209</v>
      </c>
      <c r="C50" s="21">
        <f>1.45+1.3</f>
        <v>2.75</v>
      </c>
      <c r="E50" s="19"/>
      <c r="F50" s="5"/>
      <c r="H50" s="19"/>
      <c r="Q50" s="5"/>
    </row>
    <row r="51">
      <c r="A51" s="39">
        <v>45216.0</v>
      </c>
      <c r="B51" s="4" t="s">
        <v>140</v>
      </c>
      <c r="C51" s="21">
        <f>9.6+2.3</f>
        <v>11.9</v>
      </c>
      <c r="E51" s="19"/>
      <c r="F51" s="5"/>
      <c r="H51" s="19"/>
      <c r="Q51" s="5"/>
    </row>
    <row r="52">
      <c r="A52" s="39">
        <v>45216.0</v>
      </c>
      <c r="B52" s="4" t="s">
        <v>56</v>
      </c>
      <c r="C52" s="21">
        <v>0.75</v>
      </c>
      <c r="E52" s="19"/>
      <c r="F52" s="5"/>
      <c r="H52" s="19"/>
      <c r="Q52" s="5"/>
    </row>
    <row r="53">
      <c r="A53" s="39">
        <v>45217.0</v>
      </c>
      <c r="B53" s="4" t="s">
        <v>127</v>
      </c>
      <c r="C53" s="21">
        <v>6.2</v>
      </c>
      <c r="E53" s="19"/>
      <c r="F53" s="5"/>
      <c r="H53" s="19"/>
      <c r="Q53" s="5"/>
    </row>
    <row r="54">
      <c r="A54" s="39">
        <v>45217.0</v>
      </c>
      <c r="B54" s="4" t="s">
        <v>47</v>
      </c>
      <c r="C54" s="21">
        <v>13.5</v>
      </c>
      <c r="E54" s="19"/>
      <c r="F54" s="5"/>
      <c r="H54" s="19"/>
      <c r="Q54" s="5"/>
    </row>
    <row r="55">
      <c r="A55" s="39">
        <v>45218.0</v>
      </c>
      <c r="B55" s="4" t="s">
        <v>56</v>
      </c>
      <c r="C55" s="21">
        <v>2.15</v>
      </c>
      <c r="E55" s="19"/>
      <c r="F55" s="5"/>
      <c r="H55" s="19"/>
      <c r="Q55" s="5"/>
    </row>
    <row r="56">
      <c r="A56" s="39">
        <v>45219.0</v>
      </c>
      <c r="B56" s="4" t="s">
        <v>52</v>
      </c>
      <c r="C56" s="43">
        <v>11.85</v>
      </c>
      <c r="E56" s="19"/>
      <c r="F56" s="5"/>
      <c r="H56" s="19"/>
      <c r="Q56" s="5"/>
    </row>
    <row r="57">
      <c r="A57" s="39">
        <v>45220.0</v>
      </c>
      <c r="B57" s="4" t="s">
        <v>164</v>
      </c>
      <c r="C57" s="21">
        <v>13.99</v>
      </c>
      <c r="E57" s="19"/>
      <c r="F57" s="5"/>
      <c r="H57" s="19"/>
      <c r="Q57" s="5"/>
    </row>
    <row r="58">
      <c r="A58" s="39">
        <v>45220.0</v>
      </c>
      <c r="B58" s="4" t="s">
        <v>127</v>
      </c>
      <c r="C58" s="21">
        <v>6.8</v>
      </c>
      <c r="E58" s="19"/>
      <c r="F58" s="5"/>
      <c r="H58" s="19"/>
      <c r="Q58" s="5"/>
    </row>
    <row r="59">
      <c r="A59" s="39">
        <v>45220.0</v>
      </c>
      <c r="B59" s="4" t="s">
        <v>45</v>
      </c>
      <c r="C59" s="21">
        <f>Sum(6.5,16.5,7,6,0.99,6.5)</f>
        <v>43.49</v>
      </c>
      <c r="E59" s="19"/>
      <c r="F59" s="5"/>
      <c r="H59" s="19"/>
      <c r="Q59" s="5"/>
    </row>
    <row r="60">
      <c r="A60" s="39">
        <v>45220.0</v>
      </c>
      <c r="B60" s="4" t="s">
        <v>73</v>
      </c>
      <c r="C60" s="21">
        <f>sum(8.7,9.9)</f>
        <v>18.6</v>
      </c>
      <c r="E60" s="19"/>
      <c r="F60" s="5"/>
      <c r="H60" s="19"/>
      <c r="Q60" s="5"/>
    </row>
    <row r="61">
      <c r="A61" s="39">
        <v>45220.0</v>
      </c>
      <c r="B61" s="4" t="s">
        <v>47</v>
      </c>
      <c r="C61" s="21">
        <v>7.25</v>
      </c>
      <c r="E61" s="19"/>
      <c r="F61" s="5"/>
      <c r="H61" s="19"/>
      <c r="Q61" s="5"/>
    </row>
    <row r="62">
      <c r="A62" s="39">
        <v>45221.0</v>
      </c>
      <c r="B62" s="4" t="s">
        <v>47</v>
      </c>
      <c r="C62" s="21">
        <v>16.45</v>
      </c>
      <c r="E62" s="19"/>
      <c r="F62" s="5"/>
      <c r="H62" s="19"/>
      <c r="Q62" s="5"/>
    </row>
    <row r="63">
      <c r="A63" s="39">
        <v>45223.0</v>
      </c>
      <c r="B63" s="4" t="s">
        <v>53</v>
      </c>
      <c r="C63" s="21">
        <v>16.24</v>
      </c>
      <c r="E63" s="19"/>
      <c r="F63" s="5"/>
      <c r="H63" s="19"/>
      <c r="Q63" s="5"/>
    </row>
    <row r="64">
      <c r="A64" s="39">
        <v>45223.0</v>
      </c>
      <c r="B64" s="4" t="s">
        <v>56</v>
      </c>
      <c r="C64" s="21">
        <f>3.5+0.95</f>
        <v>4.45</v>
      </c>
      <c r="E64" s="19"/>
      <c r="F64" s="5"/>
      <c r="H64" s="19"/>
      <c r="Q64" s="5"/>
    </row>
    <row r="65">
      <c r="A65" s="39">
        <v>45223.0</v>
      </c>
      <c r="B65" s="4" t="s">
        <v>209</v>
      </c>
      <c r="C65" s="21">
        <v>5.29</v>
      </c>
      <c r="E65" s="19"/>
      <c r="F65" s="5"/>
      <c r="H65" s="19"/>
      <c r="Q65" s="5"/>
    </row>
    <row r="66">
      <c r="A66" s="39">
        <v>45224.0</v>
      </c>
      <c r="B66" s="4" t="s">
        <v>210</v>
      </c>
      <c r="C66" s="21">
        <v>12.0</v>
      </c>
      <c r="E66" s="19"/>
      <c r="F66" s="5"/>
      <c r="H66" s="19"/>
      <c r="Q66" s="5"/>
    </row>
    <row r="67">
      <c r="A67" s="39">
        <v>45224.0</v>
      </c>
      <c r="B67" s="4" t="s">
        <v>127</v>
      </c>
      <c r="C67" s="21">
        <v>6.8</v>
      </c>
      <c r="E67" s="19"/>
      <c r="F67" s="5"/>
      <c r="H67" s="19"/>
      <c r="Q67" s="5"/>
    </row>
    <row r="68">
      <c r="A68" s="39">
        <v>45224.0</v>
      </c>
      <c r="B68" s="4" t="s">
        <v>45</v>
      </c>
      <c r="C68" s="21">
        <f>6.4*3</f>
        <v>19.2</v>
      </c>
      <c r="E68" s="19"/>
      <c r="F68" s="5"/>
      <c r="H68" s="19"/>
      <c r="Q68" s="5"/>
    </row>
    <row r="69">
      <c r="A69" s="39">
        <v>45225.0</v>
      </c>
      <c r="B69" s="4" t="s">
        <v>127</v>
      </c>
      <c r="C69" s="21">
        <v>5.6</v>
      </c>
      <c r="E69" s="19"/>
      <c r="F69" s="5"/>
      <c r="H69" s="19"/>
      <c r="Q69" s="5"/>
    </row>
    <row r="70">
      <c r="A70" s="39">
        <v>45225.0</v>
      </c>
      <c r="B70" s="4" t="s">
        <v>76</v>
      </c>
      <c r="C70" s="21">
        <v>2.5</v>
      </c>
      <c r="E70" s="19"/>
      <c r="F70" s="5"/>
      <c r="H70" s="19"/>
      <c r="Q70" s="5"/>
    </row>
    <row r="71">
      <c r="A71" s="39">
        <v>45225.0</v>
      </c>
      <c r="B71" s="4" t="s">
        <v>56</v>
      </c>
      <c r="C71" s="21">
        <v>7.0</v>
      </c>
      <c r="E71" s="19"/>
      <c r="F71" s="5"/>
      <c r="H71" s="19"/>
      <c r="Q71" s="5"/>
    </row>
    <row r="72">
      <c r="A72" s="39">
        <v>45225.0</v>
      </c>
      <c r="B72" s="4" t="s">
        <v>73</v>
      </c>
      <c r="C72" s="21">
        <v>12.92</v>
      </c>
      <c r="E72" s="19"/>
      <c r="F72" s="5"/>
      <c r="H72" s="19"/>
      <c r="Q72" s="5"/>
    </row>
    <row r="73">
      <c r="A73" s="39">
        <v>45227.0</v>
      </c>
      <c r="B73" s="4" t="s">
        <v>210</v>
      </c>
      <c r="C73" s="21">
        <v>12.5</v>
      </c>
      <c r="E73" s="19"/>
      <c r="F73" s="5"/>
      <c r="H73" s="19"/>
      <c r="Q73" s="5"/>
    </row>
    <row r="74">
      <c r="A74" s="39">
        <v>45226.0</v>
      </c>
      <c r="B74" s="4" t="s">
        <v>127</v>
      </c>
      <c r="C74" s="21">
        <v>7.1</v>
      </c>
      <c r="E74" s="19"/>
      <c r="F74" s="5"/>
      <c r="H74" s="19"/>
      <c r="Q74" s="5"/>
    </row>
    <row r="75">
      <c r="A75" s="39">
        <v>45227.0</v>
      </c>
      <c r="B75" s="4" t="s">
        <v>45</v>
      </c>
      <c r="C75" s="21">
        <f>5.4+13.3+6.65+11.9+4+4</f>
        <v>45.25</v>
      </c>
      <c r="E75" s="19"/>
      <c r="F75" s="5"/>
      <c r="H75" s="19"/>
      <c r="Q75" s="5"/>
    </row>
    <row r="76">
      <c r="A76" s="39">
        <v>45227.0</v>
      </c>
      <c r="B76" s="4" t="s">
        <v>164</v>
      </c>
      <c r="C76" s="21">
        <v>14.0</v>
      </c>
      <c r="E76" s="19"/>
      <c r="F76" s="5"/>
      <c r="H76" s="19"/>
      <c r="Q76" s="5"/>
    </row>
    <row r="77">
      <c r="A77" s="39">
        <v>45227.0</v>
      </c>
      <c r="B77" s="4" t="s">
        <v>127</v>
      </c>
      <c r="C77" s="21">
        <v>8.1</v>
      </c>
      <c r="E77" s="19"/>
      <c r="F77" s="5"/>
      <c r="H77" s="19"/>
      <c r="Q77" s="5"/>
    </row>
    <row r="78">
      <c r="A78" s="39">
        <v>45226.0</v>
      </c>
      <c r="B78" s="4" t="s">
        <v>47</v>
      </c>
      <c r="C78" s="21">
        <v>10.35</v>
      </c>
      <c r="E78" s="19"/>
      <c r="F78" s="5"/>
      <c r="H78" s="19"/>
      <c r="Q78" s="5"/>
    </row>
    <row r="79">
      <c r="A79" s="39">
        <v>45226.0</v>
      </c>
      <c r="B79" s="4" t="s">
        <v>59</v>
      </c>
      <c r="C79" s="21">
        <v>18.78</v>
      </c>
      <c r="E79" s="19"/>
      <c r="F79" s="5"/>
      <c r="H79" s="19"/>
      <c r="Q79" s="5"/>
    </row>
    <row r="80">
      <c r="A80" s="39">
        <v>45227.0</v>
      </c>
      <c r="B80" s="4" t="s">
        <v>443</v>
      </c>
      <c r="C80" s="21">
        <v>9.99</v>
      </c>
      <c r="E80" s="19"/>
      <c r="F80" s="5"/>
      <c r="H80" s="19"/>
      <c r="Q80" s="5"/>
    </row>
    <row r="81">
      <c r="A81" s="39">
        <v>45227.0</v>
      </c>
      <c r="B81" s="4" t="s">
        <v>73</v>
      </c>
      <c r="C81" s="21">
        <v>12.75</v>
      </c>
      <c r="E81" s="19"/>
      <c r="F81" s="5"/>
      <c r="H81" s="19"/>
      <c r="Q81" s="5"/>
    </row>
    <row r="82">
      <c r="A82" s="39">
        <v>45228.0</v>
      </c>
      <c r="B82" s="4" t="s">
        <v>47</v>
      </c>
      <c r="C82" s="21">
        <v>3.25</v>
      </c>
      <c r="E82" s="19"/>
      <c r="F82" s="5"/>
      <c r="H82" s="19"/>
      <c r="Q82" s="5"/>
    </row>
    <row r="83">
      <c r="A83" s="39">
        <v>45228.0</v>
      </c>
      <c r="B83" s="4" t="s">
        <v>444</v>
      </c>
      <c r="C83" s="55">
        <v>5.89</v>
      </c>
      <c r="E83" s="19"/>
      <c r="F83" s="5"/>
      <c r="H83" s="19"/>
      <c r="Q83" s="5"/>
    </row>
    <row r="84">
      <c r="A84" s="39">
        <v>45229.0</v>
      </c>
      <c r="B84" s="4" t="s">
        <v>119</v>
      </c>
      <c r="C84" s="21">
        <v>4.6</v>
      </c>
      <c r="E84" s="19"/>
      <c r="F84" s="5"/>
      <c r="H84" s="19"/>
      <c r="Q84" s="5"/>
    </row>
    <row r="85">
      <c r="A85" s="39">
        <v>45230.0</v>
      </c>
      <c r="B85" s="4" t="s">
        <v>73</v>
      </c>
      <c r="C85" s="21">
        <v>11.1</v>
      </c>
      <c r="E85" s="19"/>
      <c r="F85" s="5"/>
      <c r="H85" s="19"/>
      <c r="Q85" s="5"/>
    </row>
    <row r="86">
      <c r="A86" s="39"/>
      <c r="C86" s="21"/>
      <c r="E86" s="19"/>
      <c r="F86" s="5"/>
      <c r="H86" s="19"/>
      <c r="Q86" s="5"/>
    </row>
    <row r="87">
      <c r="A87" s="39"/>
      <c r="C87" s="21"/>
      <c r="E87" s="19"/>
      <c r="F87" s="5"/>
      <c r="H87" s="19"/>
      <c r="Q87" s="5"/>
    </row>
    <row r="88">
      <c r="A88" s="39"/>
      <c r="C88" s="21"/>
      <c r="E88" s="19"/>
      <c r="F88" s="5"/>
      <c r="H88" s="19"/>
      <c r="Q88" s="5"/>
    </row>
    <row r="89">
      <c r="A89" s="39"/>
      <c r="C89" s="21"/>
      <c r="E89" s="19"/>
      <c r="F89" s="5"/>
      <c r="H89" s="19"/>
      <c r="Q89" s="5"/>
    </row>
    <row r="90">
      <c r="A90" s="39"/>
      <c r="C90" s="21"/>
      <c r="E90" s="19"/>
      <c r="F90" s="5"/>
      <c r="H90" s="19"/>
      <c r="Q90" s="5"/>
    </row>
    <row r="91">
      <c r="A91" s="39"/>
      <c r="C91" s="21"/>
      <c r="E91" s="19"/>
      <c r="F91" s="5"/>
      <c r="H91" s="19"/>
      <c r="Q91" s="5"/>
    </row>
    <row r="92">
      <c r="A92" s="39"/>
      <c r="C92" s="21"/>
      <c r="E92" s="19"/>
      <c r="F92" s="5"/>
      <c r="H92" s="19"/>
      <c r="Q92" s="5"/>
    </row>
    <row r="93">
      <c r="A93" s="39"/>
      <c r="C93" s="21"/>
      <c r="E93" s="19"/>
      <c r="F93" s="5"/>
      <c r="H93" s="19"/>
      <c r="Q93" s="5"/>
    </row>
    <row r="94">
      <c r="A94" s="39"/>
      <c r="C94" s="21"/>
      <c r="E94" s="19"/>
      <c r="F94" s="5"/>
      <c r="H94" s="19"/>
      <c r="Q94" s="5"/>
    </row>
    <row r="95">
      <c r="A95" s="39"/>
      <c r="C95" s="21"/>
      <c r="E95" s="19"/>
      <c r="F95" s="5"/>
      <c r="H95" s="19"/>
      <c r="Q95" s="5"/>
    </row>
    <row r="96">
      <c r="A96" s="39"/>
      <c r="C96" s="21"/>
      <c r="E96" s="19"/>
      <c r="F96" s="5"/>
      <c r="H96" s="19"/>
      <c r="Q96" s="5"/>
    </row>
    <row r="97">
      <c r="A97" s="39"/>
      <c r="C97" s="21"/>
      <c r="E97" s="19"/>
      <c r="F97" s="5"/>
      <c r="H97" s="19"/>
      <c r="Q97" s="5"/>
    </row>
    <row r="98">
      <c r="A98" s="39"/>
      <c r="C98" s="21"/>
      <c r="E98" s="19"/>
      <c r="F98" s="5"/>
      <c r="H98" s="19"/>
      <c r="Q98" s="5"/>
    </row>
    <row r="99">
      <c r="A99" s="39"/>
      <c r="C99" s="21"/>
      <c r="E99" s="19"/>
      <c r="F99" s="5"/>
      <c r="H99" s="19"/>
      <c r="Q99" s="5"/>
    </row>
    <row r="100">
      <c r="A100" s="44"/>
      <c r="C100" s="5"/>
      <c r="E100" s="19"/>
      <c r="F100" s="5"/>
      <c r="H100" s="19"/>
      <c r="Q100" s="5"/>
    </row>
    <row r="101">
      <c r="A101" s="44"/>
      <c r="C101" s="5"/>
      <c r="E101" s="19"/>
      <c r="F101" s="5"/>
      <c r="H101" s="19"/>
      <c r="Q101" s="5"/>
    </row>
    <row r="102">
      <c r="A102" s="44"/>
      <c r="C102" s="5"/>
      <c r="E102" s="19"/>
      <c r="F102" s="5"/>
      <c r="H102" s="19"/>
      <c r="Q102" s="5"/>
    </row>
    <row r="103">
      <c r="A103" s="44"/>
      <c r="C103" s="5"/>
      <c r="E103" s="19"/>
      <c r="F103" s="5"/>
      <c r="H103" s="19"/>
      <c r="Q103" s="5"/>
    </row>
    <row r="104">
      <c r="A104" s="44"/>
      <c r="C104" s="5"/>
      <c r="E104" s="19"/>
      <c r="F104" s="5"/>
      <c r="H104" s="19"/>
      <c r="Q104" s="5"/>
    </row>
    <row r="105">
      <c r="A105" s="44"/>
      <c r="C105" s="5"/>
      <c r="E105" s="19"/>
      <c r="F105" s="5"/>
      <c r="H105" s="19"/>
      <c r="Q105" s="5"/>
    </row>
    <row r="106">
      <c r="A106" s="44"/>
      <c r="C106" s="5"/>
      <c r="E106" s="19"/>
      <c r="F106" s="5"/>
      <c r="H106" s="19"/>
      <c r="Q106" s="5"/>
    </row>
    <row r="107">
      <c r="A107" s="44"/>
      <c r="C107" s="5"/>
      <c r="E107" s="19"/>
      <c r="F107" s="5"/>
      <c r="H107" s="19"/>
      <c r="Q107" s="5"/>
    </row>
    <row r="108">
      <c r="A108" s="44"/>
      <c r="C108" s="5"/>
      <c r="E108" s="19"/>
      <c r="F108" s="5"/>
      <c r="H108" s="19"/>
      <c r="Q108" s="5"/>
    </row>
    <row r="109">
      <c r="A109" s="44"/>
      <c r="C109" s="5"/>
      <c r="E109" s="19"/>
      <c r="F109" s="5"/>
      <c r="H109" s="19"/>
      <c r="Q109" s="5"/>
    </row>
    <row r="110">
      <c r="A110" s="44"/>
      <c r="C110" s="5"/>
      <c r="E110" s="19"/>
      <c r="F110" s="5"/>
      <c r="H110" s="19"/>
      <c r="Q110" s="5"/>
    </row>
    <row r="111">
      <c r="A111" s="44"/>
      <c r="C111" s="5"/>
      <c r="E111" s="19"/>
      <c r="F111" s="5"/>
      <c r="H111" s="19"/>
      <c r="Q111" s="5"/>
    </row>
    <row r="112">
      <c r="A112" s="44"/>
      <c r="C112" s="5"/>
      <c r="E112" s="19"/>
      <c r="F112" s="5"/>
      <c r="H112" s="19"/>
      <c r="Q112" s="5"/>
    </row>
    <row r="113">
      <c r="A113" s="44"/>
      <c r="C113" s="5"/>
      <c r="E113" s="19"/>
      <c r="F113" s="5"/>
      <c r="H113" s="19"/>
      <c r="Q113" s="5"/>
    </row>
    <row r="114">
      <c r="A114" s="44"/>
      <c r="C114" s="5"/>
      <c r="E114" s="19"/>
      <c r="F114" s="5"/>
      <c r="H114" s="19"/>
      <c r="Q114" s="5"/>
    </row>
    <row r="115">
      <c r="A115" s="44"/>
      <c r="C115" s="5"/>
      <c r="E115" s="19"/>
      <c r="F115" s="5"/>
      <c r="H115" s="19"/>
      <c r="Q115" s="5"/>
    </row>
    <row r="116">
      <c r="A116" s="44"/>
      <c r="C116" s="5"/>
      <c r="E116" s="19"/>
      <c r="F116" s="5"/>
      <c r="H116" s="19"/>
      <c r="Q116" s="5"/>
    </row>
    <row r="117">
      <c r="A117" s="44"/>
      <c r="C117" s="5"/>
      <c r="E117" s="19"/>
      <c r="F117" s="5"/>
      <c r="H117" s="19"/>
      <c r="Q117" s="5"/>
    </row>
    <row r="118">
      <c r="A118" s="44"/>
      <c r="C118" s="5"/>
      <c r="E118" s="19"/>
      <c r="F118" s="5"/>
      <c r="H118" s="19"/>
      <c r="Q118" s="5"/>
    </row>
    <row r="119">
      <c r="A119" s="44"/>
      <c r="C119" s="5"/>
      <c r="E119" s="19"/>
      <c r="F119" s="5"/>
      <c r="H119" s="19"/>
      <c r="Q119" s="5"/>
    </row>
    <row r="120">
      <c r="A120" s="44"/>
      <c r="C120" s="5"/>
      <c r="E120" s="19"/>
      <c r="F120" s="5"/>
      <c r="H120" s="19"/>
      <c r="Q120" s="5"/>
    </row>
    <row r="121">
      <c r="A121" s="44"/>
      <c r="C121" s="5"/>
      <c r="E121" s="19"/>
      <c r="F121" s="5"/>
      <c r="H121" s="19"/>
      <c r="Q121" s="5"/>
    </row>
    <row r="122">
      <c r="A122" s="44"/>
      <c r="C122" s="5"/>
      <c r="E122" s="19"/>
      <c r="F122" s="5"/>
      <c r="H122" s="19"/>
      <c r="Q122" s="5"/>
    </row>
    <row r="123">
      <c r="A123" s="44"/>
      <c r="C123" s="5"/>
      <c r="E123" s="19"/>
      <c r="F123" s="5"/>
      <c r="H123" s="19"/>
      <c r="Q123" s="5"/>
    </row>
    <row r="124">
      <c r="A124" s="44"/>
      <c r="C124" s="5"/>
      <c r="E124" s="19"/>
      <c r="F124" s="5"/>
      <c r="H124" s="19"/>
      <c r="Q124" s="5"/>
    </row>
    <row r="125">
      <c r="A125" s="44"/>
      <c r="C125" s="5"/>
      <c r="E125" s="19"/>
      <c r="F125" s="5"/>
      <c r="H125" s="19"/>
      <c r="Q125" s="5"/>
    </row>
    <row r="126">
      <c r="A126" s="44"/>
      <c r="C126" s="5"/>
      <c r="E126" s="19"/>
      <c r="F126" s="5"/>
      <c r="H126" s="19"/>
      <c r="Q126" s="5"/>
    </row>
    <row r="127">
      <c r="A127" s="44"/>
      <c r="C127" s="5"/>
      <c r="E127" s="19"/>
      <c r="F127" s="5"/>
      <c r="H127" s="19"/>
      <c r="Q127" s="5"/>
    </row>
    <row r="128">
      <c r="A128" s="44"/>
      <c r="C128" s="5"/>
      <c r="E128" s="19"/>
      <c r="F128" s="5"/>
      <c r="H128" s="19"/>
      <c r="Q128" s="5"/>
    </row>
    <row r="129">
      <c r="A129" s="44"/>
      <c r="C129" s="5"/>
      <c r="E129" s="19"/>
      <c r="F129" s="5"/>
      <c r="H129" s="19"/>
      <c r="Q129" s="5"/>
    </row>
    <row r="130">
      <c r="A130" s="44"/>
      <c r="C130" s="5"/>
      <c r="E130" s="19"/>
      <c r="F130" s="5"/>
      <c r="H130" s="19"/>
      <c r="Q130" s="5"/>
    </row>
    <row r="131">
      <c r="A131" s="44"/>
      <c r="C131" s="5"/>
      <c r="E131" s="19"/>
      <c r="F131" s="5"/>
      <c r="H131" s="19"/>
      <c r="Q131" s="5"/>
    </row>
    <row r="132">
      <c r="A132" s="44"/>
      <c r="C132" s="5"/>
      <c r="E132" s="19"/>
      <c r="F132" s="5"/>
      <c r="H132" s="19"/>
      <c r="Q132" s="5"/>
    </row>
    <row r="133">
      <c r="A133" s="44"/>
      <c r="C133" s="5"/>
      <c r="E133" s="19"/>
      <c r="F133" s="5"/>
      <c r="H133" s="19"/>
      <c r="Q133" s="5"/>
    </row>
    <row r="134">
      <c r="A134" s="44"/>
      <c r="C134" s="5"/>
      <c r="E134" s="19"/>
      <c r="F134" s="5"/>
      <c r="H134" s="19"/>
      <c r="Q134" s="5"/>
    </row>
    <row r="135">
      <c r="A135" s="44"/>
      <c r="C135" s="5"/>
      <c r="E135" s="19"/>
      <c r="F135" s="5"/>
      <c r="H135" s="19"/>
      <c r="Q135" s="5"/>
    </row>
    <row r="136">
      <c r="A136" s="44"/>
      <c r="C136" s="5"/>
      <c r="E136" s="19"/>
      <c r="F136" s="5"/>
      <c r="H136" s="19"/>
      <c r="Q136" s="5"/>
    </row>
    <row r="137">
      <c r="A137" s="44"/>
      <c r="C137" s="5"/>
      <c r="E137" s="19"/>
      <c r="F137" s="5"/>
      <c r="H137" s="19"/>
      <c r="Q137" s="5"/>
    </row>
    <row r="138">
      <c r="A138" s="44"/>
      <c r="C138" s="5"/>
      <c r="E138" s="19"/>
      <c r="F138" s="5"/>
      <c r="H138" s="19"/>
      <c r="Q138" s="5"/>
    </row>
    <row r="139">
      <c r="A139" s="44"/>
      <c r="C139" s="5"/>
      <c r="E139" s="19"/>
      <c r="F139" s="5"/>
      <c r="H139" s="19"/>
      <c r="Q139" s="5"/>
    </row>
    <row r="140">
      <c r="A140" s="44"/>
      <c r="C140" s="5"/>
      <c r="E140" s="19"/>
      <c r="F140" s="5"/>
      <c r="H140" s="19"/>
      <c r="Q140" s="5"/>
    </row>
    <row r="141">
      <c r="A141" s="44"/>
      <c r="C141" s="5"/>
      <c r="E141" s="19"/>
      <c r="F141" s="5"/>
      <c r="H141" s="19"/>
      <c r="Q141" s="5"/>
    </row>
    <row r="142">
      <c r="A142" s="44"/>
      <c r="C142" s="5"/>
      <c r="E142" s="19"/>
      <c r="F142" s="5"/>
      <c r="H142" s="19"/>
      <c r="Q142" s="5"/>
    </row>
    <row r="143">
      <c r="A143" s="44"/>
      <c r="C143" s="5"/>
      <c r="E143" s="19"/>
      <c r="F143" s="5"/>
      <c r="H143" s="19"/>
      <c r="Q143" s="5"/>
    </row>
    <row r="144">
      <c r="A144" s="44"/>
      <c r="C144" s="5"/>
      <c r="E144" s="19"/>
      <c r="F144" s="5"/>
      <c r="H144" s="19"/>
      <c r="Q144" s="5"/>
    </row>
    <row r="145">
      <c r="A145" s="44"/>
      <c r="C145" s="5"/>
      <c r="E145" s="19"/>
      <c r="F145" s="5"/>
      <c r="H145" s="19"/>
      <c r="Q145" s="5"/>
    </row>
    <row r="146">
      <c r="A146" s="44"/>
      <c r="C146" s="5"/>
      <c r="E146" s="19"/>
      <c r="F146" s="5"/>
      <c r="H146" s="19"/>
      <c r="Q146" s="5"/>
    </row>
    <row r="147">
      <c r="A147" s="44"/>
      <c r="C147" s="5"/>
      <c r="E147" s="19"/>
      <c r="F147" s="5"/>
      <c r="H147" s="19"/>
      <c r="Q147" s="5"/>
    </row>
    <row r="148">
      <c r="A148" s="44"/>
      <c r="C148" s="5"/>
      <c r="E148" s="19"/>
      <c r="F148" s="5"/>
      <c r="H148" s="19"/>
      <c r="Q148" s="5"/>
    </row>
    <row r="149">
      <c r="A149" s="44"/>
      <c r="C149" s="5"/>
      <c r="E149" s="19"/>
      <c r="F149" s="5"/>
      <c r="H149" s="19"/>
      <c r="Q149" s="5"/>
    </row>
    <row r="150">
      <c r="A150" s="44"/>
      <c r="C150" s="5"/>
      <c r="E150" s="19"/>
      <c r="F150" s="5"/>
      <c r="H150" s="19"/>
      <c r="Q150" s="5"/>
    </row>
    <row r="151">
      <c r="A151" s="44"/>
      <c r="C151" s="5"/>
      <c r="E151" s="19"/>
      <c r="F151" s="5"/>
      <c r="H151" s="19"/>
      <c r="Q151" s="5"/>
    </row>
    <row r="152">
      <c r="A152" s="44"/>
      <c r="C152" s="5"/>
      <c r="E152" s="19"/>
      <c r="F152" s="5"/>
      <c r="H152" s="19"/>
      <c r="Q152" s="5"/>
    </row>
    <row r="153">
      <c r="A153" s="44"/>
      <c r="C153" s="5"/>
      <c r="E153" s="19"/>
      <c r="F153" s="5"/>
      <c r="H153" s="19"/>
      <c r="Q153" s="5"/>
    </row>
    <row r="154">
      <c r="A154" s="44"/>
      <c r="C154" s="5"/>
      <c r="E154" s="19"/>
      <c r="F154" s="5"/>
      <c r="H154" s="19"/>
      <c r="Q154" s="5"/>
    </row>
    <row r="155">
      <c r="A155" s="44"/>
      <c r="C155" s="5"/>
      <c r="E155" s="19"/>
      <c r="F155" s="5"/>
      <c r="H155" s="19"/>
      <c r="Q155" s="5"/>
    </row>
    <row r="156">
      <c r="A156" s="44"/>
      <c r="C156" s="5"/>
      <c r="E156" s="19"/>
      <c r="F156" s="5"/>
      <c r="H156" s="19"/>
      <c r="Q156" s="5"/>
    </row>
    <row r="157">
      <c r="A157" s="44"/>
      <c r="C157" s="5"/>
      <c r="E157" s="19"/>
      <c r="F157" s="5"/>
      <c r="H157" s="19"/>
      <c r="Q157" s="5"/>
    </row>
    <row r="158">
      <c r="A158" s="44"/>
      <c r="C158" s="5"/>
      <c r="E158" s="19"/>
      <c r="F158" s="5"/>
      <c r="H158" s="19"/>
      <c r="Q158" s="5"/>
    </row>
    <row r="159">
      <c r="A159" s="44"/>
      <c r="C159" s="5"/>
      <c r="E159" s="19"/>
      <c r="F159" s="5"/>
      <c r="H159" s="19"/>
      <c r="Q159" s="5"/>
    </row>
    <row r="160">
      <c r="A160" s="44"/>
      <c r="C160" s="5"/>
      <c r="E160" s="19"/>
      <c r="F160" s="5"/>
      <c r="H160" s="19"/>
      <c r="Q160" s="5"/>
    </row>
    <row r="161">
      <c r="A161" s="44"/>
      <c r="C161" s="5"/>
      <c r="E161" s="19"/>
      <c r="F161" s="5"/>
      <c r="H161" s="19"/>
      <c r="Q161" s="5"/>
    </row>
    <row r="162">
      <c r="A162" s="44"/>
      <c r="C162" s="5"/>
      <c r="E162" s="19"/>
      <c r="F162" s="5"/>
      <c r="H162" s="19"/>
      <c r="Q162" s="5"/>
    </row>
    <row r="163">
      <c r="A163" s="44"/>
      <c r="C163" s="5"/>
      <c r="E163" s="19"/>
      <c r="F163" s="5"/>
      <c r="H163" s="19"/>
      <c r="Q163" s="5"/>
    </row>
    <row r="164">
      <c r="A164" s="44"/>
      <c r="C164" s="5"/>
      <c r="E164" s="19"/>
      <c r="F164" s="5"/>
      <c r="H164" s="19"/>
      <c r="Q164" s="5"/>
    </row>
    <row r="165">
      <c r="A165" s="44"/>
      <c r="C165" s="5"/>
      <c r="E165" s="19"/>
      <c r="F165" s="5"/>
      <c r="H165" s="19"/>
      <c r="Q165" s="5"/>
    </row>
    <row r="166">
      <c r="A166" s="44"/>
      <c r="C166" s="5"/>
      <c r="E166" s="19"/>
      <c r="F166" s="5"/>
      <c r="H166" s="19"/>
      <c r="Q166" s="5"/>
    </row>
    <row r="167">
      <c r="A167" s="44"/>
      <c r="C167" s="5"/>
      <c r="E167" s="19"/>
      <c r="F167" s="5"/>
      <c r="H167" s="19"/>
      <c r="Q167" s="5"/>
    </row>
    <row r="168">
      <c r="A168" s="44"/>
      <c r="C168" s="5"/>
      <c r="E168" s="19"/>
      <c r="F168" s="5"/>
      <c r="H168" s="19"/>
      <c r="Q168" s="5"/>
    </row>
    <row r="169">
      <c r="A169" s="44"/>
      <c r="C169" s="5"/>
      <c r="E169" s="19"/>
      <c r="F169" s="5"/>
      <c r="H169" s="19"/>
      <c r="Q169" s="5"/>
    </row>
    <row r="170">
      <c r="A170" s="44"/>
      <c r="C170" s="5"/>
      <c r="E170" s="19"/>
      <c r="F170" s="5"/>
      <c r="H170" s="19"/>
      <c r="Q170" s="5"/>
    </row>
    <row r="171">
      <c r="A171" s="44"/>
      <c r="C171" s="5"/>
      <c r="E171" s="19"/>
      <c r="F171" s="5"/>
      <c r="H171" s="19"/>
      <c r="Q171" s="5"/>
    </row>
    <row r="172">
      <c r="A172" s="44"/>
      <c r="C172" s="5"/>
      <c r="E172" s="19"/>
      <c r="F172" s="5"/>
      <c r="H172" s="19"/>
      <c r="Q172" s="5"/>
    </row>
    <row r="173">
      <c r="A173" s="44"/>
      <c r="C173" s="5"/>
      <c r="E173" s="19"/>
      <c r="F173" s="5"/>
      <c r="H173" s="19"/>
      <c r="Q173" s="5"/>
    </row>
    <row r="174">
      <c r="A174" s="44"/>
      <c r="C174" s="5"/>
      <c r="E174" s="19"/>
      <c r="F174" s="5"/>
      <c r="H174" s="19"/>
      <c r="Q174" s="5"/>
    </row>
    <row r="175">
      <c r="A175" s="44"/>
      <c r="C175" s="5"/>
      <c r="E175" s="19"/>
      <c r="F175" s="5"/>
      <c r="H175" s="19"/>
      <c r="Q175" s="5"/>
    </row>
    <row r="176">
      <c r="A176" s="44"/>
      <c r="C176" s="5"/>
      <c r="E176" s="19"/>
      <c r="F176" s="5"/>
      <c r="H176" s="19"/>
      <c r="Q176" s="5"/>
    </row>
    <row r="177">
      <c r="A177" s="44"/>
      <c r="C177" s="5"/>
      <c r="E177" s="19"/>
      <c r="F177" s="5"/>
      <c r="H177" s="19"/>
      <c r="Q177" s="5"/>
    </row>
    <row r="178">
      <c r="A178" s="44"/>
      <c r="C178" s="5"/>
      <c r="E178" s="19"/>
      <c r="F178" s="5"/>
      <c r="H178" s="19"/>
      <c r="Q178" s="5"/>
    </row>
    <row r="179">
      <c r="A179" s="44"/>
      <c r="C179" s="5"/>
      <c r="E179" s="19"/>
      <c r="F179" s="5"/>
      <c r="H179" s="19"/>
      <c r="Q179" s="5"/>
    </row>
    <row r="180">
      <c r="A180" s="44"/>
      <c r="C180" s="5"/>
      <c r="E180" s="19"/>
      <c r="F180" s="5"/>
      <c r="H180" s="19"/>
      <c r="Q180" s="5"/>
    </row>
    <row r="181">
      <c r="A181" s="44"/>
      <c r="C181" s="5"/>
      <c r="E181" s="19"/>
      <c r="F181" s="5"/>
      <c r="H181" s="19"/>
      <c r="Q181" s="5"/>
    </row>
    <row r="182">
      <c r="A182" s="44"/>
      <c r="C182" s="5"/>
      <c r="E182" s="19"/>
      <c r="F182" s="5"/>
      <c r="H182" s="19"/>
      <c r="Q182" s="5"/>
    </row>
    <row r="183">
      <c r="A183" s="44"/>
      <c r="C183" s="5"/>
      <c r="E183" s="19"/>
      <c r="F183" s="5"/>
      <c r="H183" s="19"/>
      <c r="Q183" s="5"/>
    </row>
    <row r="184">
      <c r="A184" s="44"/>
      <c r="C184" s="5"/>
      <c r="E184" s="19"/>
      <c r="F184" s="5"/>
      <c r="H184" s="19"/>
      <c r="Q184" s="5"/>
    </row>
    <row r="185">
      <c r="A185" s="44"/>
      <c r="C185" s="5"/>
      <c r="E185" s="19"/>
      <c r="F185" s="5"/>
      <c r="H185" s="19"/>
      <c r="Q185" s="5"/>
    </row>
    <row r="186">
      <c r="A186" s="44"/>
      <c r="C186" s="5"/>
      <c r="E186" s="19"/>
      <c r="F186" s="5"/>
      <c r="H186" s="19"/>
      <c r="Q186" s="5"/>
    </row>
    <row r="187">
      <c r="A187" s="44"/>
      <c r="C187" s="5"/>
      <c r="E187" s="19"/>
      <c r="F187" s="5"/>
      <c r="H187" s="19"/>
      <c r="Q187" s="5"/>
    </row>
    <row r="188">
      <c r="A188" s="44"/>
      <c r="C188" s="5"/>
      <c r="E188" s="19"/>
      <c r="F188" s="5"/>
      <c r="H188" s="19"/>
      <c r="Q188" s="5"/>
    </row>
    <row r="189">
      <c r="A189" s="44"/>
      <c r="C189" s="5"/>
      <c r="E189" s="19"/>
      <c r="F189" s="5"/>
      <c r="H189" s="19"/>
      <c r="Q189" s="5"/>
    </row>
    <row r="190">
      <c r="A190" s="44"/>
      <c r="C190" s="5"/>
      <c r="E190" s="19"/>
      <c r="F190" s="5"/>
      <c r="H190" s="19"/>
      <c r="Q190" s="5"/>
    </row>
    <row r="191">
      <c r="A191" s="44"/>
      <c r="C191" s="5"/>
      <c r="E191" s="19"/>
      <c r="F191" s="5"/>
      <c r="H191" s="19"/>
      <c r="Q191" s="5"/>
    </row>
    <row r="192">
      <c r="A192" s="44"/>
      <c r="C192" s="5"/>
      <c r="E192" s="19"/>
      <c r="F192" s="5"/>
      <c r="H192" s="19"/>
      <c r="Q192" s="5"/>
    </row>
    <row r="193">
      <c r="A193" s="44"/>
      <c r="C193" s="5"/>
      <c r="E193" s="19"/>
      <c r="F193" s="5"/>
      <c r="H193" s="19"/>
      <c r="Q193" s="5"/>
    </row>
    <row r="194">
      <c r="A194" s="44"/>
      <c r="C194" s="5"/>
      <c r="E194" s="19"/>
      <c r="F194" s="5"/>
      <c r="H194" s="19"/>
      <c r="Q194" s="5"/>
    </row>
    <row r="195">
      <c r="A195" s="44"/>
      <c r="C195" s="5"/>
      <c r="E195" s="19"/>
      <c r="F195" s="5"/>
      <c r="H195" s="19"/>
      <c r="Q195" s="5"/>
    </row>
    <row r="196">
      <c r="A196" s="44"/>
      <c r="C196" s="5"/>
      <c r="E196" s="19"/>
      <c r="F196" s="5"/>
      <c r="H196" s="19"/>
      <c r="Q196" s="5"/>
    </row>
    <row r="197">
      <c r="A197" s="44"/>
      <c r="C197" s="5"/>
      <c r="E197" s="19"/>
      <c r="F197" s="5"/>
      <c r="H197" s="19"/>
      <c r="Q197" s="5"/>
    </row>
    <row r="198">
      <c r="A198" s="44"/>
      <c r="C198" s="5"/>
      <c r="E198" s="19"/>
      <c r="F198" s="5"/>
      <c r="H198" s="19"/>
      <c r="Q198" s="5"/>
    </row>
    <row r="199">
      <c r="A199" s="44"/>
      <c r="C199" s="5"/>
      <c r="E199" s="19"/>
      <c r="F199" s="5"/>
      <c r="H199" s="19"/>
      <c r="Q199" s="5"/>
    </row>
    <row r="200">
      <c r="A200" s="44"/>
      <c r="C200" s="5"/>
      <c r="E200" s="19"/>
      <c r="F200" s="5"/>
      <c r="H200" s="19"/>
      <c r="Q200" s="5"/>
    </row>
    <row r="201">
      <c r="A201" s="44"/>
      <c r="C201" s="5"/>
      <c r="E201" s="19"/>
      <c r="F201" s="5"/>
      <c r="H201" s="19"/>
      <c r="Q201" s="5"/>
    </row>
    <row r="202">
      <c r="A202" s="44"/>
      <c r="C202" s="5"/>
      <c r="E202" s="19"/>
      <c r="F202" s="5"/>
      <c r="H202" s="19"/>
      <c r="Q202" s="5"/>
    </row>
    <row r="203">
      <c r="A203" s="44"/>
      <c r="C203" s="5"/>
      <c r="E203" s="19"/>
      <c r="F203" s="5"/>
      <c r="H203" s="19"/>
      <c r="Q203" s="5"/>
    </row>
    <row r="204">
      <c r="A204" s="44"/>
      <c r="C204" s="5"/>
      <c r="E204" s="19"/>
      <c r="F204" s="5"/>
      <c r="H204" s="19"/>
      <c r="Q204" s="5"/>
    </row>
    <row r="205">
      <c r="A205" s="44"/>
      <c r="C205" s="5"/>
      <c r="E205" s="19"/>
      <c r="F205" s="5"/>
      <c r="H205" s="19"/>
      <c r="Q205" s="5"/>
    </row>
    <row r="206">
      <c r="A206" s="44"/>
      <c r="C206" s="5"/>
      <c r="E206" s="19"/>
      <c r="F206" s="5"/>
      <c r="H206" s="19"/>
      <c r="Q206" s="5"/>
    </row>
    <row r="207">
      <c r="A207" s="44"/>
      <c r="C207" s="5"/>
      <c r="E207" s="19"/>
      <c r="F207" s="5"/>
      <c r="H207" s="19"/>
      <c r="Q207" s="5"/>
    </row>
    <row r="208">
      <c r="A208" s="44"/>
      <c r="C208" s="5"/>
      <c r="E208" s="19"/>
      <c r="F208" s="5"/>
      <c r="H208" s="19"/>
      <c r="Q208" s="5"/>
    </row>
    <row r="209">
      <c r="A209" s="44"/>
      <c r="C209" s="5"/>
      <c r="E209" s="19"/>
      <c r="F209" s="5"/>
      <c r="H209" s="19"/>
      <c r="Q209" s="5"/>
    </row>
    <row r="210">
      <c r="A210" s="44"/>
      <c r="C210" s="5"/>
      <c r="E210" s="19"/>
      <c r="F210" s="5"/>
      <c r="H210" s="19"/>
      <c r="Q210" s="5"/>
    </row>
    <row r="211">
      <c r="A211" s="44"/>
      <c r="C211" s="5"/>
      <c r="E211" s="19"/>
      <c r="F211" s="5"/>
      <c r="H211" s="19"/>
      <c r="Q211" s="5"/>
    </row>
    <row r="212">
      <c r="A212" s="44"/>
      <c r="C212" s="5"/>
      <c r="E212" s="19"/>
      <c r="F212" s="5"/>
      <c r="H212" s="19"/>
      <c r="Q212" s="5"/>
    </row>
    <row r="213">
      <c r="A213" s="44"/>
      <c r="C213" s="5"/>
      <c r="E213" s="19"/>
      <c r="F213" s="5"/>
      <c r="H213" s="19"/>
      <c r="Q213" s="5"/>
    </row>
    <row r="214">
      <c r="A214" s="44"/>
      <c r="C214" s="5"/>
      <c r="E214" s="19"/>
      <c r="F214" s="5"/>
      <c r="H214" s="19"/>
      <c r="Q214" s="5"/>
    </row>
    <row r="215">
      <c r="A215" s="44"/>
      <c r="C215" s="5"/>
      <c r="E215" s="19"/>
      <c r="F215" s="5"/>
      <c r="H215" s="19"/>
      <c r="Q215" s="5"/>
    </row>
    <row r="216">
      <c r="A216" s="44"/>
      <c r="C216" s="5"/>
      <c r="E216" s="19"/>
      <c r="F216" s="5"/>
      <c r="H216" s="19"/>
      <c r="Q216" s="5"/>
    </row>
    <row r="217">
      <c r="A217" s="44"/>
      <c r="C217" s="5"/>
      <c r="E217" s="19"/>
      <c r="F217" s="5"/>
      <c r="H217" s="19"/>
      <c r="Q217" s="5"/>
    </row>
    <row r="218">
      <c r="A218" s="44"/>
      <c r="C218" s="5"/>
      <c r="E218" s="19"/>
      <c r="F218" s="5"/>
      <c r="H218" s="19"/>
      <c r="Q218" s="5"/>
    </row>
    <row r="219">
      <c r="A219" s="44"/>
      <c r="C219" s="5"/>
      <c r="E219" s="19"/>
      <c r="F219" s="5"/>
      <c r="H219" s="19"/>
      <c r="Q219" s="5"/>
    </row>
    <row r="220">
      <c r="A220" s="44"/>
      <c r="C220" s="5"/>
      <c r="E220" s="19"/>
      <c r="F220" s="5"/>
      <c r="H220" s="19"/>
      <c r="Q220" s="5"/>
    </row>
    <row r="221">
      <c r="A221" s="44"/>
      <c r="C221" s="5"/>
      <c r="E221" s="19"/>
      <c r="F221" s="5"/>
      <c r="H221" s="19"/>
      <c r="Q221" s="5"/>
    </row>
    <row r="222">
      <c r="A222" s="44"/>
      <c r="C222" s="5"/>
      <c r="E222" s="19"/>
      <c r="F222" s="5"/>
      <c r="H222" s="19"/>
      <c r="Q222" s="5"/>
    </row>
    <row r="223">
      <c r="A223" s="44"/>
      <c r="C223" s="5"/>
      <c r="E223" s="19"/>
      <c r="F223" s="5"/>
      <c r="H223" s="19"/>
      <c r="Q223" s="5"/>
    </row>
    <row r="224">
      <c r="A224" s="44"/>
      <c r="C224" s="5"/>
      <c r="E224" s="19"/>
      <c r="F224" s="5"/>
      <c r="H224" s="19"/>
      <c r="Q224" s="5"/>
    </row>
    <row r="225">
      <c r="A225" s="44"/>
      <c r="C225" s="5"/>
      <c r="E225" s="19"/>
      <c r="F225" s="5"/>
      <c r="H225" s="19"/>
      <c r="Q225" s="5"/>
    </row>
    <row r="226">
      <c r="A226" s="44"/>
      <c r="C226" s="5"/>
      <c r="E226" s="19"/>
      <c r="F226" s="5"/>
      <c r="H226" s="19"/>
      <c r="Q226" s="5"/>
    </row>
    <row r="227">
      <c r="A227" s="44"/>
      <c r="C227" s="5"/>
      <c r="E227" s="19"/>
      <c r="F227" s="5"/>
      <c r="H227" s="19"/>
      <c r="Q227" s="5"/>
    </row>
    <row r="228">
      <c r="A228" s="44"/>
      <c r="C228" s="5"/>
      <c r="E228" s="19"/>
      <c r="F228" s="5"/>
      <c r="H228" s="19"/>
      <c r="Q228" s="5"/>
    </row>
    <row r="229">
      <c r="A229" s="44"/>
      <c r="C229" s="5"/>
      <c r="E229" s="19"/>
      <c r="F229" s="5"/>
      <c r="H229" s="19"/>
      <c r="Q229" s="5"/>
    </row>
    <row r="230">
      <c r="A230" s="44"/>
      <c r="C230" s="5"/>
      <c r="E230" s="19"/>
      <c r="F230" s="5"/>
      <c r="H230" s="19"/>
      <c r="Q230" s="5"/>
    </row>
    <row r="231">
      <c r="A231" s="44"/>
      <c r="C231" s="5"/>
      <c r="E231" s="19"/>
      <c r="F231" s="5"/>
      <c r="H231" s="19"/>
      <c r="Q231" s="5"/>
    </row>
    <row r="232">
      <c r="A232" s="44"/>
      <c r="C232" s="5"/>
      <c r="E232" s="19"/>
      <c r="F232" s="5"/>
      <c r="H232" s="19"/>
      <c r="Q232" s="5"/>
    </row>
    <row r="233">
      <c r="A233" s="44"/>
      <c r="C233" s="5"/>
      <c r="E233" s="19"/>
      <c r="F233" s="5"/>
      <c r="H233" s="19"/>
      <c r="Q233" s="5"/>
    </row>
    <row r="234">
      <c r="A234" s="44"/>
      <c r="C234" s="5"/>
      <c r="E234" s="19"/>
      <c r="F234" s="5"/>
      <c r="H234" s="19"/>
      <c r="Q234" s="5"/>
    </row>
    <row r="235">
      <c r="A235" s="44"/>
      <c r="C235" s="5"/>
      <c r="E235" s="19"/>
      <c r="F235" s="5"/>
      <c r="H235" s="19"/>
      <c r="Q235" s="5"/>
    </row>
    <row r="236">
      <c r="A236" s="44"/>
      <c r="C236" s="5"/>
      <c r="E236" s="19"/>
      <c r="F236" s="5"/>
      <c r="H236" s="19"/>
      <c r="Q236" s="5"/>
    </row>
    <row r="237">
      <c r="A237" s="44"/>
      <c r="C237" s="5"/>
      <c r="E237" s="19"/>
      <c r="F237" s="5"/>
      <c r="H237" s="19"/>
      <c r="Q237" s="5"/>
    </row>
    <row r="238">
      <c r="A238" s="44"/>
      <c r="C238" s="5"/>
      <c r="E238" s="19"/>
      <c r="F238" s="5"/>
      <c r="H238" s="19"/>
      <c r="Q238" s="5"/>
    </row>
    <row r="239">
      <c r="A239" s="44"/>
      <c r="C239" s="5"/>
      <c r="E239" s="19"/>
      <c r="F239" s="5"/>
      <c r="H239" s="19"/>
      <c r="Q239" s="5"/>
    </row>
    <row r="240">
      <c r="A240" s="44"/>
      <c r="C240" s="5"/>
      <c r="E240" s="19"/>
      <c r="F240" s="5"/>
      <c r="H240" s="19"/>
      <c r="Q240" s="5"/>
    </row>
    <row r="241">
      <c r="A241" s="44"/>
      <c r="C241" s="5"/>
      <c r="E241" s="19"/>
      <c r="F241" s="5"/>
      <c r="H241" s="19"/>
      <c r="Q241" s="5"/>
    </row>
    <row r="242">
      <c r="A242" s="44"/>
      <c r="C242" s="5"/>
      <c r="E242" s="19"/>
      <c r="F242" s="5"/>
      <c r="H242" s="19"/>
      <c r="Q242" s="5"/>
    </row>
    <row r="243">
      <c r="A243" s="44"/>
      <c r="C243" s="5"/>
      <c r="E243" s="19"/>
      <c r="F243" s="5"/>
      <c r="H243" s="19"/>
      <c r="Q243" s="5"/>
    </row>
    <row r="244">
      <c r="A244" s="44"/>
      <c r="C244" s="5"/>
      <c r="E244" s="19"/>
      <c r="F244" s="5"/>
      <c r="H244" s="19"/>
      <c r="Q244" s="5"/>
    </row>
    <row r="245">
      <c r="A245" s="44"/>
      <c r="C245" s="5"/>
      <c r="E245" s="19"/>
      <c r="F245" s="5"/>
      <c r="H245" s="19"/>
      <c r="Q245" s="5"/>
    </row>
    <row r="246">
      <c r="A246" s="44"/>
      <c r="C246" s="5"/>
      <c r="E246" s="19"/>
      <c r="F246" s="5"/>
      <c r="H246" s="19"/>
      <c r="Q246" s="5"/>
    </row>
    <row r="247">
      <c r="A247" s="44"/>
      <c r="C247" s="5"/>
      <c r="E247" s="19"/>
      <c r="F247" s="5"/>
      <c r="H247" s="19"/>
      <c r="Q247" s="5"/>
    </row>
    <row r="248">
      <c r="A248" s="44"/>
      <c r="C248" s="5"/>
      <c r="E248" s="19"/>
      <c r="F248" s="5"/>
      <c r="H248" s="19"/>
      <c r="Q248" s="5"/>
    </row>
    <row r="249">
      <c r="A249" s="44"/>
      <c r="C249" s="5"/>
      <c r="E249" s="19"/>
      <c r="F249" s="5"/>
      <c r="H249" s="19"/>
      <c r="Q249" s="5"/>
    </row>
    <row r="250">
      <c r="A250" s="44"/>
      <c r="C250" s="5"/>
      <c r="E250" s="19"/>
      <c r="F250" s="5"/>
      <c r="H250" s="19"/>
      <c r="Q250" s="5"/>
    </row>
    <row r="251">
      <c r="A251" s="44"/>
      <c r="C251" s="5"/>
      <c r="E251" s="19"/>
      <c r="F251" s="5"/>
      <c r="H251" s="19"/>
      <c r="Q251" s="5"/>
    </row>
    <row r="252">
      <c r="A252" s="44"/>
      <c r="C252" s="5"/>
      <c r="E252" s="19"/>
      <c r="F252" s="5"/>
      <c r="H252" s="19"/>
      <c r="Q252" s="5"/>
    </row>
    <row r="253">
      <c r="A253" s="44"/>
      <c r="C253" s="5"/>
      <c r="E253" s="19"/>
      <c r="F253" s="5"/>
      <c r="H253" s="19"/>
      <c r="Q253" s="5"/>
    </row>
    <row r="254">
      <c r="A254" s="44"/>
      <c r="C254" s="5"/>
      <c r="E254" s="19"/>
      <c r="F254" s="5"/>
      <c r="H254" s="19"/>
      <c r="Q254" s="5"/>
    </row>
    <row r="255">
      <c r="A255" s="44"/>
      <c r="C255" s="5"/>
      <c r="E255" s="19"/>
      <c r="F255" s="5"/>
      <c r="H255" s="19"/>
      <c r="Q255" s="5"/>
    </row>
    <row r="256">
      <c r="A256" s="44"/>
      <c r="C256" s="5"/>
      <c r="E256" s="19"/>
      <c r="F256" s="5"/>
      <c r="H256" s="19"/>
      <c r="Q256" s="5"/>
    </row>
    <row r="257">
      <c r="A257" s="44"/>
      <c r="C257" s="5"/>
      <c r="E257" s="19"/>
      <c r="F257" s="5"/>
      <c r="H257" s="19"/>
      <c r="Q257" s="5"/>
    </row>
    <row r="258">
      <c r="A258" s="44"/>
      <c r="C258" s="5"/>
      <c r="E258" s="19"/>
      <c r="F258" s="5"/>
      <c r="H258" s="19"/>
      <c r="Q258" s="5"/>
    </row>
    <row r="259">
      <c r="A259" s="44"/>
      <c r="C259" s="5"/>
      <c r="E259" s="19"/>
      <c r="F259" s="5"/>
      <c r="H259" s="19"/>
      <c r="Q259" s="5"/>
    </row>
    <row r="260">
      <c r="A260" s="44"/>
      <c r="C260" s="5"/>
      <c r="E260" s="19"/>
      <c r="F260" s="5"/>
      <c r="H260" s="19"/>
      <c r="Q260" s="5"/>
    </row>
    <row r="261">
      <c r="A261" s="44"/>
      <c r="C261" s="5"/>
      <c r="E261" s="19"/>
      <c r="F261" s="5"/>
      <c r="H261" s="19"/>
      <c r="Q261" s="5"/>
    </row>
    <row r="262">
      <c r="A262" s="44"/>
      <c r="C262" s="5"/>
      <c r="E262" s="19"/>
      <c r="F262" s="5"/>
      <c r="H262" s="19"/>
      <c r="Q262" s="5"/>
    </row>
    <row r="263">
      <c r="A263" s="44"/>
      <c r="C263" s="5"/>
      <c r="E263" s="19"/>
      <c r="F263" s="5"/>
      <c r="H263" s="19"/>
      <c r="Q263" s="5"/>
    </row>
    <row r="264">
      <c r="A264" s="44"/>
      <c r="C264" s="5"/>
      <c r="E264" s="19"/>
      <c r="F264" s="5"/>
      <c r="H264" s="19"/>
      <c r="Q264" s="5"/>
    </row>
    <row r="265">
      <c r="A265" s="44"/>
      <c r="C265" s="5"/>
      <c r="E265" s="19"/>
      <c r="F265" s="5"/>
      <c r="H265" s="19"/>
      <c r="Q265" s="5"/>
    </row>
    <row r="266">
      <c r="A266" s="44"/>
      <c r="C266" s="5"/>
      <c r="E266" s="19"/>
      <c r="F266" s="5"/>
      <c r="H266" s="19"/>
      <c r="Q266" s="5"/>
    </row>
    <row r="267">
      <c r="A267" s="44"/>
      <c r="C267" s="5"/>
      <c r="E267" s="19"/>
      <c r="F267" s="5"/>
      <c r="H267" s="19"/>
      <c r="Q267" s="5"/>
    </row>
    <row r="268">
      <c r="A268" s="44"/>
      <c r="C268" s="5"/>
      <c r="E268" s="19"/>
      <c r="F268" s="5"/>
      <c r="H268" s="19"/>
      <c r="Q268" s="5"/>
    </row>
    <row r="269">
      <c r="A269" s="44"/>
      <c r="C269" s="5"/>
      <c r="E269" s="19"/>
      <c r="F269" s="5"/>
      <c r="H269" s="19"/>
      <c r="Q269" s="5"/>
    </row>
    <row r="270">
      <c r="A270" s="44"/>
      <c r="C270" s="5"/>
      <c r="E270" s="19"/>
      <c r="F270" s="5"/>
      <c r="H270" s="19"/>
      <c r="Q270" s="5"/>
    </row>
    <row r="271">
      <c r="A271" s="44"/>
      <c r="C271" s="5"/>
      <c r="E271" s="19"/>
      <c r="F271" s="5"/>
      <c r="H271" s="19"/>
      <c r="Q271" s="5"/>
    </row>
    <row r="272">
      <c r="A272" s="44"/>
      <c r="C272" s="5"/>
      <c r="E272" s="19"/>
      <c r="F272" s="5"/>
      <c r="H272" s="19"/>
      <c r="Q272" s="5"/>
    </row>
    <row r="273">
      <c r="A273" s="44"/>
      <c r="C273" s="5"/>
      <c r="E273" s="19"/>
      <c r="F273" s="5"/>
      <c r="H273" s="19"/>
      <c r="Q273" s="5"/>
    </row>
    <row r="274">
      <c r="A274" s="44"/>
      <c r="C274" s="5"/>
      <c r="E274" s="19"/>
      <c r="F274" s="5"/>
      <c r="H274" s="19"/>
      <c r="Q274" s="5"/>
    </row>
    <row r="275">
      <c r="A275" s="44"/>
      <c r="C275" s="5"/>
      <c r="E275" s="19"/>
      <c r="F275" s="5"/>
      <c r="H275" s="19"/>
      <c r="Q275" s="5"/>
    </row>
    <row r="276">
      <c r="A276" s="44"/>
      <c r="C276" s="5"/>
      <c r="E276" s="19"/>
      <c r="F276" s="5"/>
      <c r="H276" s="19"/>
      <c r="Q276" s="5"/>
    </row>
    <row r="277">
      <c r="A277" s="44"/>
      <c r="C277" s="5"/>
      <c r="E277" s="19"/>
      <c r="F277" s="5"/>
      <c r="H277" s="19"/>
      <c r="Q277" s="5"/>
    </row>
    <row r="278">
      <c r="A278" s="44"/>
      <c r="C278" s="5"/>
      <c r="E278" s="19"/>
      <c r="F278" s="5"/>
      <c r="H278" s="19"/>
      <c r="Q278" s="5"/>
    </row>
    <row r="279">
      <c r="A279" s="44"/>
      <c r="C279" s="5"/>
      <c r="E279" s="19"/>
      <c r="F279" s="5"/>
      <c r="H279" s="19"/>
      <c r="Q279" s="5"/>
    </row>
    <row r="280">
      <c r="A280" s="44"/>
      <c r="C280" s="5"/>
      <c r="E280" s="19"/>
      <c r="F280" s="5"/>
      <c r="H280" s="19"/>
      <c r="Q280" s="5"/>
    </row>
    <row r="281">
      <c r="A281" s="44"/>
      <c r="C281" s="5"/>
      <c r="E281" s="19"/>
      <c r="F281" s="5"/>
      <c r="H281" s="19"/>
      <c r="Q281" s="5"/>
    </row>
    <row r="282">
      <c r="A282" s="44"/>
      <c r="C282" s="5"/>
      <c r="E282" s="19"/>
      <c r="F282" s="5"/>
      <c r="H282" s="19"/>
      <c r="Q282" s="5"/>
    </row>
    <row r="283">
      <c r="A283" s="44"/>
      <c r="C283" s="5"/>
      <c r="E283" s="19"/>
      <c r="F283" s="5"/>
      <c r="H283" s="19"/>
      <c r="Q283" s="5"/>
    </row>
    <row r="284">
      <c r="A284" s="44"/>
      <c r="C284" s="5"/>
      <c r="E284" s="19"/>
      <c r="F284" s="5"/>
      <c r="H284" s="19"/>
      <c r="Q284" s="5"/>
    </row>
    <row r="285">
      <c r="A285" s="44"/>
      <c r="C285" s="5"/>
      <c r="E285" s="19"/>
      <c r="F285" s="5"/>
      <c r="H285" s="19"/>
      <c r="Q285" s="5"/>
    </row>
    <row r="286">
      <c r="A286" s="44"/>
      <c r="C286" s="5"/>
      <c r="E286" s="19"/>
      <c r="F286" s="5"/>
      <c r="H286" s="19"/>
      <c r="Q286" s="5"/>
    </row>
    <row r="287">
      <c r="A287" s="44"/>
      <c r="C287" s="5"/>
      <c r="E287" s="19"/>
      <c r="F287" s="5"/>
      <c r="H287" s="19"/>
      <c r="Q287" s="5"/>
    </row>
    <row r="288">
      <c r="A288" s="44"/>
      <c r="C288" s="5"/>
      <c r="E288" s="19"/>
      <c r="F288" s="5"/>
      <c r="H288" s="19"/>
      <c r="Q288" s="5"/>
    </row>
    <row r="289">
      <c r="A289" s="44"/>
      <c r="C289" s="5"/>
      <c r="E289" s="19"/>
      <c r="F289" s="5"/>
      <c r="H289" s="19"/>
      <c r="Q289" s="5"/>
    </row>
    <row r="290">
      <c r="A290" s="44"/>
      <c r="C290" s="5"/>
      <c r="E290" s="19"/>
      <c r="F290" s="5"/>
      <c r="H290" s="19"/>
      <c r="Q290" s="5"/>
    </row>
    <row r="291">
      <c r="A291" s="44"/>
      <c r="C291" s="5"/>
      <c r="E291" s="19"/>
      <c r="F291" s="5"/>
      <c r="H291" s="19"/>
      <c r="Q291" s="5"/>
    </row>
    <row r="292">
      <c r="A292" s="44"/>
      <c r="C292" s="5"/>
      <c r="E292" s="19"/>
      <c r="F292" s="5"/>
      <c r="H292" s="19"/>
      <c r="Q292" s="5"/>
    </row>
    <row r="293">
      <c r="A293" s="44"/>
      <c r="C293" s="5"/>
      <c r="E293" s="19"/>
      <c r="F293" s="5"/>
      <c r="H293" s="19"/>
      <c r="Q293" s="5"/>
    </row>
    <row r="294">
      <c r="A294" s="44"/>
      <c r="C294" s="5"/>
      <c r="E294" s="19"/>
      <c r="F294" s="5"/>
      <c r="H294" s="19"/>
      <c r="Q294" s="5"/>
    </row>
    <row r="295">
      <c r="A295" s="44"/>
      <c r="C295" s="5"/>
      <c r="E295" s="19"/>
      <c r="F295" s="5"/>
      <c r="H295" s="19"/>
      <c r="Q295" s="5"/>
    </row>
    <row r="296">
      <c r="A296" s="44"/>
      <c r="C296" s="5"/>
      <c r="E296" s="19"/>
      <c r="F296" s="5"/>
      <c r="H296" s="19"/>
      <c r="Q296" s="5"/>
    </row>
    <row r="297">
      <c r="A297" s="44"/>
      <c r="C297" s="5"/>
      <c r="E297" s="19"/>
      <c r="F297" s="5"/>
      <c r="H297" s="19"/>
      <c r="Q297" s="5"/>
    </row>
    <row r="298">
      <c r="A298" s="44"/>
      <c r="C298" s="5"/>
      <c r="E298" s="19"/>
      <c r="F298" s="5"/>
      <c r="H298" s="19"/>
      <c r="Q298" s="5"/>
    </row>
    <row r="299">
      <c r="A299" s="44"/>
      <c r="C299" s="5"/>
      <c r="E299" s="19"/>
      <c r="F299" s="5"/>
      <c r="H299" s="19"/>
      <c r="Q299" s="5"/>
    </row>
    <row r="300">
      <c r="A300" s="44"/>
      <c r="C300" s="5"/>
      <c r="E300" s="19"/>
      <c r="F300" s="5"/>
      <c r="H300" s="19"/>
      <c r="Q300" s="5"/>
    </row>
    <row r="301">
      <c r="A301" s="44"/>
      <c r="C301" s="5"/>
      <c r="E301" s="19"/>
      <c r="F301" s="5"/>
      <c r="H301" s="19"/>
      <c r="Q301" s="5"/>
    </row>
    <row r="302">
      <c r="A302" s="44"/>
      <c r="C302" s="5"/>
      <c r="E302" s="19"/>
      <c r="F302" s="5"/>
      <c r="H302" s="19"/>
      <c r="Q302" s="5"/>
    </row>
    <row r="303">
      <c r="A303" s="44"/>
      <c r="C303" s="5"/>
      <c r="E303" s="19"/>
      <c r="F303" s="5"/>
      <c r="H303" s="19"/>
      <c r="Q303" s="5"/>
    </row>
    <row r="304">
      <c r="A304" s="44"/>
      <c r="C304" s="5"/>
      <c r="E304" s="19"/>
      <c r="F304" s="5"/>
      <c r="H304" s="19"/>
      <c r="Q304" s="5"/>
    </row>
    <row r="305">
      <c r="A305" s="44"/>
      <c r="C305" s="5"/>
      <c r="E305" s="19"/>
      <c r="F305" s="5"/>
      <c r="H305" s="19"/>
      <c r="Q305" s="5"/>
    </row>
    <row r="306">
      <c r="A306" s="44"/>
      <c r="C306" s="5"/>
      <c r="E306" s="19"/>
      <c r="F306" s="5"/>
      <c r="H306" s="19"/>
      <c r="Q306" s="5"/>
    </row>
    <row r="307">
      <c r="A307" s="44"/>
      <c r="C307" s="5"/>
      <c r="E307" s="19"/>
      <c r="F307" s="5"/>
      <c r="H307" s="19"/>
      <c r="Q307" s="5"/>
    </row>
    <row r="308">
      <c r="A308" s="44"/>
      <c r="C308" s="5"/>
      <c r="E308" s="19"/>
      <c r="F308" s="5"/>
      <c r="H308" s="19"/>
      <c r="Q308" s="5"/>
    </row>
    <row r="309">
      <c r="A309" s="44"/>
      <c r="C309" s="5"/>
      <c r="E309" s="19"/>
      <c r="F309" s="5"/>
      <c r="H309" s="19"/>
      <c r="Q309" s="5"/>
    </row>
    <row r="310">
      <c r="A310" s="44"/>
      <c r="C310" s="5"/>
      <c r="E310" s="19"/>
      <c r="F310" s="5"/>
      <c r="H310" s="19"/>
      <c r="Q310" s="5"/>
    </row>
    <row r="311">
      <c r="A311" s="44"/>
      <c r="C311" s="5"/>
      <c r="E311" s="19"/>
      <c r="F311" s="5"/>
      <c r="H311" s="19"/>
      <c r="Q311" s="5"/>
    </row>
    <row r="312">
      <c r="A312" s="44"/>
      <c r="C312" s="5"/>
      <c r="E312" s="19"/>
      <c r="F312" s="5"/>
      <c r="H312" s="19"/>
      <c r="Q312" s="5"/>
    </row>
    <row r="313">
      <c r="A313" s="44"/>
      <c r="C313" s="5"/>
      <c r="E313" s="19"/>
      <c r="F313" s="5"/>
      <c r="H313" s="19"/>
      <c r="Q313" s="5"/>
    </row>
    <row r="314">
      <c r="A314" s="44"/>
      <c r="C314" s="5"/>
      <c r="E314" s="19"/>
      <c r="F314" s="5"/>
      <c r="H314" s="19"/>
      <c r="Q314" s="5"/>
    </row>
    <row r="315">
      <c r="A315" s="44"/>
      <c r="C315" s="5"/>
      <c r="E315" s="19"/>
      <c r="F315" s="5"/>
      <c r="H315" s="19"/>
      <c r="Q315" s="5"/>
    </row>
    <row r="316">
      <c r="A316" s="44"/>
      <c r="C316" s="5"/>
      <c r="E316" s="19"/>
      <c r="F316" s="5"/>
      <c r="H316" s="19"/>
      <c r="Q316" s="5"/>
    </row>
    <row r="317">
      <c r="A317" s="44"/>
      <c r="C317" s="5"/>
      <c r="E317" s="19"/>
      <c r="F317" s="5"/>
      <c r="H317" s="19"/>
      <c r="Q317" s="5"/>
    </row>
    <row r="318">
      <c r="A318" s="44"/>
      <c r="C318" s="5"/>
      <c r="E318" s="19"/>
      <c r="F318" s="5"/>
      <c r="H318" s="19"/>
      <c r="Q318" s="5"/>
    </row>
    <row r="319">
      <c r="A319" s="44"/>
      <c r="C319" s="5"/>
      <c r="E319" s="19"/>
      <c r="F319" s="5"/>
      <c r="H319" s="19"/>
      <c r="Q319" s="5"/>
    </row>
    <row r="320">
      <c r="A320" s="44"/>
      <c r="C320" s="5"/>
      <c r="E320" s="19"/>
      <c r="F320" s="5"/>
      <c r="H320" s="19"/>
      <c r="Q320" s="5"/>
    </row>
    <row r="321">
      <c r="A321" s="44"/>
      <c r="C321" s="5"/>
      <c r="E321" s="19"/>
      <c r="F321" s="5"/>
      <c r="H321" s="19"/>
      <c r="Q321" s="5"/>
    </row>
    <row r="322">
      <c r="A322" s="44"/>
      <c r="C322" s="5"/>
      <c r="E322" s="19"/>
      <c r="F322" s="5"/>
      <c r="H322" s="19"/>
      <c r="Q322" s="5"/>
    </row>
    <row r="323">
      <c r="A323" s="44"/>
      <c r="C323" s="5"/>
      <c r="E323" s="19"/>
      <c r="F323" s="5"/>
      <c r="H323" s="19"/>
      <c r="Q323" s="5"/>
    </row>
    <row r="324">
      <c r="A324" s="44"/>
      <c r="C324" s="5"/>
      <c r="E324" s="19"/>
      <c r="F324" s="5"/>
      <c r="H324" s="19"/>
      <c r="Q324" s="5"/>
    </row>
    <row r="325">
      <c r="A325" s="44"/>
      <c r="C325" s="5"/>
      <c r="E325" s="19"/>
      <c r="F325" s="5"/>
      <c r="H325" s="19"/>
      <c r="Q325" s="5"/>
    </row>
    <row r="326">
      <c r="A326" s="44"/>
      <c r="C326" s="5"/>
      <c r="E326" s="19"/>
      <c r="F326" s="5"/>
      <c r="H326" s="19"/>
      <c r="Q326" s="5"/>
    </row>
    <row r="327">
      <c r="A327" s="44"/>
      <c r="C327" s="5"/>
      <c r="E327" s="19"/>
      <c r="F327" s="5"/>
      <c r="H327" s="19"/>
      <c r="Q327" s="5"/>
    </row>
    <row r="328">
      <c r="A328" s="44"/>
      <c r="C328" s="5"/>
      <c r="E328" s="19"/>
      <c r="F328" s="5"/>
      <c r="H328" s="19"/>
      <c r="Q328" s="5"/>
    </row>
    <row r="329">
      <c r="A329" s="44"/>
      <c r="C329" s="5"/>
      <c r="E329" s="19"/>
      <c r="F329" s="5"/>
      <c r="H329" s="19"/>
      <c r="Q329" s="5"/>
    </row>
    <row r="330">
      <c r="A330" s="44"/>
      <c r="C330" s="5"/>
      <c r="E330" s="19"/>
      <c r="F330" s="5"/>
      <c r="H330" s="19"/>
      <c r="Q330" s="5"/>
    </row>
    <row r="331">
      <c r="A331" s="44"/>
      <c r="C331" s="5"/>
      <c r="E331" s="19"/>
      <c r="F331" s="5"/>
      <c r="H331" s="19"/>
      <c r="Q331" s="5"/>
    </row>
    <row r="332">
      <c r="A332" s="44"/>
      <c r="C332" s="5"/>
      <c r="E332" s="19"/>
      <c r="F332" s="5"/>
      <c r="H332" s="19"/>
      <c r="Q332" s="5"/>
    </row>
    <row r="333">
      <c r="A333" s="44"/>
      <c r="C333" s="5"/>
      <c r="E333" s="19"/>
      <c r="F333" s="5"/>
      <c r="H333" s="19"/>
      <c r="Q333" s="5"/>
    </row>
    <row r="334">
      <c r="A334" s="44"/>
      <c r="C334" s="5"/>
      <c r="E334" s="19"/>
      <c r="F334" s="5"/>
      <c r="H334" s="19"/>
      <c r="Q334" s="5"/>
    </row>
    <row r="335">
      <c r="A335" s="44"/>
      <c r="C335" s="5"/>
      <c r="E335" s="19"/>
      <c r="F335" s="5"/>
      <c r="H335" s="19"/>
      <c r="Q335" s="5"/>
    </row>
    <row r="336">
      <c r="A336" s="44"/>
      <c r="C336" s="5"/>
      <c r="E336" s="19"/>
      <c r="F336" s="5"/>
      <c r="H336" s="19"/>
      <c r="Q336" s="5"/>
    </row>
    <row r="337">
      <c r="A337" s="44"/>
      <c r="C337" s="5"/>
      <c r="E337" s="19"/>
      <c r="F337" s="5"/>
      <c r="H337" s="19"/>
      <c r="Q337" s="5"/>
    </row>
    <row r="338">
      <c r="A338" s="44"/>
      <c r="C338" s="5"/>
      <c r="E338" s="19"/>
      <c r="F338" s="5"/>
      <c r="H338" s="19"/>
      <c r="Q338" s="5"/>
    </row>
    <row r="339">
      <c r="A339" s="44"/>
      <c r="C339" s="5"/>
      <c r="E339" s="19"/>
      <c r="F339" s="5"/>
      <c r="H339" s="19"/>
      <c r="Q339" s="5"/>
    </row>
    <row r="340">
      <c r="A340" s="44"/>
      <c r="C340" s="5"/>
      <c r="E340" s="19"/>
      <c r="F340" s="5"/>
      <c r="H340" s="19"/>
      <c r="Q340" s="5"/>
    </row>
    <row r="341">
      <c r="A341" s="44"/>
      <c r="C341" s="5"/>
      <c r="E341" s="19"/>
      <c r="F341" s="5"/>
      <c r="H341" s="19"/>
      <c r="Q341" s="5"/>
    </row>
    <row r="342">
      <c r="A342" s="44"/>
      <c r="C342" s="5"/>
      <c r="E342" s="19"/>
      <c r="F342" s="5"/>
      <c r="H342" s="19"/>
      <c r="Q342" s="5"/>
    </row>
    <row r="343">
      <c r="A343" s="44"/>
      <c r="C343" s="5"/>
      <c r="E343" s="19"/>
      <c r="F343" s="5"/>
      <c r="H343" s="19"/>
      <c r="Q343" s="5"/>
    </row>
    <row r="344">
      <c r="A344" s="44"/>
      <c r="C344" s="5"/>
      <c r="E344" s="19"/>
      <c r="F344" s="5"/>
      <c r="H344" s="19"/>
      <c r="Q344" s="5"/>
    </row>
    <row r="345">
      <c r="A345" s="44"/>
      <c r="C345" s="5"/>
      <c r="E345" s="19"/>
      <c r="F345" s="5"/>
      <c r="H345" s="19"/>
      <c r="Q345" s="5"/>
    </row>
    <row r="346">
      <c r="A346" s="44"/>
      <c r="C346" s="5"/>
      <c r="E346" s="19"/>
      <c r="F346" s="5"/>
      <c r="H346" s="19"/>
      <c r="Q346" s="5"/>
    </row>
    <row r="347">
      <c r="A347" s="44"/>
      <c r="C347" s="5"/>
      <c r="E347" s="19"/>
      <c r="F347" s="5"/>
      <c r="H347" s="19"/>
      <c r="Q347" s="5"/>
    </row>
    <row r="348">
      <c r="A348" s="44"/>
      <c r="C348" s="5"/>
      <c r="E348" s="19"/>
      <c r="F348" s="5"/>
      <c r="H348" s="19"/>
      <c r="Q348" s="5"/>
    </row>
    <row r="349">
      <c r="A349" s="44"/>
      <c r="C349" s="5"/>
      <c r="E349" s="19"/>
      <c r="F349" s="5"/>
      <c r="H349" s="19"/>
      <c r="Q349" s="5"/>
    </row>
    <row r="350">
      <c r="A350" s="44"/>
      <c r="C350" s="5"/>
      <c r="E350" s="19"/>
      <c r="F350" s="5"/>
      <c r="H350" s="19"/>
      <c r="Q350" s="5"/>
    </row>
    <row r="351">
      <c r="A351" s="44"/>
      <c r="C351" s="5"/>
      <c r="E351" s="19"/>
      <c r="F351" s="5"/>
      <c r="H351" s="19"/>
      <c r="Q351" s="5"/>
    </row>
    <row r="352">
      <c r="A352" s="44"/>
      <c r="C352" s="5"/>
      <c r="E352" s="19"/>
      <c r="F352" s="5"/>
      <c r="H352" s="19"/>
      <c r="Q352" s="5"/>
    </row>
    <row r="353">
      <c r="A353" s="44"/>
      <c r="C353" s="5"/>
      <c r="E353" s="19"/>
      <c r="F353" s="5"/>
      <c r="H353" s="19"/>
      <c r="Q353" s="5"/>
    </row>
    <row r="354">
      <c r="A354" s="44"/>
      <c r="C354" s="5"/>
      <c r="E354" s="19"/>
      <c r="F354" s="5"/>
      <c r="H354" s="19"/>
      <c r="Q354" s="5"/>
    </row>
    <row r="355">
      <c r="A355" s="44"/>
      <c r="C355" s="5"/>
      <c r="E355" s="19"/>
      <c r="F355" s="5"/>
      <c r="H355" s="19"/>
      <c r="Q355" s="5"/>
    </row>
    <row r="356">
      <c r="A356" s="44"/>
      <c r="C356" s="5"/>
      <c r="E356" s="19"/>
      <c r="F356" s="5"/>
      <c r="H356" s="19"/>
      <c r="Q356" s="5"/>
    </row>
    <row r="357">
      <c r="A357" s="44"/>
      <c r="C357" s="5"/>
      <c r="E357" s="19"/>
      <c r="F357" s="5"/>
      <c r="H357" s="19"/>
      <c r="Q357" s="5"/>
    </row>
    <row r="358">
      <c r="A358" s="44"/>
      <c r="C358" s="5"/>
      <c r="E358" s="19"/>
      <c r="F358" s="5"/>
      <c r="H358" s="19"/>
      <c r="Q358" s="5"/>
    </row>
    <row r="359">
      <c r="A359" s="44"/>
      <c r="C359" s="5"/>
      <c r="E359" s="19"/>
      <c r="F359" s="5"/>
      <c r="H359" s="19"/>
      <c r="Q359" s="5"/>
    </row>
    <row r="360">
      <c r="A360" s="44"/>
      <c r="C360" s="5"/>
      <c r="E360" s="19"/>
      <c r="F360" s="5"/>
      <c r="H360" s="19"/>
      <c r="Q360" s="5"/>
    </row>
    <row r="361">
      <c r="A361" s="44"/>
      <c r="C361" s="5"/>
      <c r="E361" s="19"/>
      <c r="F361" s="5"/>
      <c r="H361" s="19"/>
      <c r="Q361" s="5"/>
    </row>
    <row r="362">
      <c r="A362" s="44"/>
      <c r="C362" s="5"/>
      <c r="E362" s="19"/>
      <c r="F362" s="5"/>
      <c r="H362" s="19"/>
      <c r="Q362" s="5"/>
    </row>
    <row r="363">
      <c r="A363" s="44"/>
      <c r="C363" s="5"/>
      <c r="E363" s="19"/>
      <c r="F363" s="5"/>
      <c r="H363" s="19"/>
      <c r="Q363" s="5"/>
    </row>
    <row r="364">
      <c r="A364" s="44"/>
      <c r="C364" s="5"/>
      <c r="E364" s="19"/>
      <c r="F364" s="5"/>
      <c r="H364" s="19"/>
      <c r="Q364" s="5"/>
    </row>
    <row r="365">
      <c r="A365" s="44"/>
      <c r="C365" s="5"/>
      <c r="E365" s="19"/>
      <c r="F365" s="5"/>
      <c r="H365" s="19"/>
      <c r="Q365" s="5"/>
    </row>
    <row r="366">
      <c r="A366" s="44"/>
      <c r="C366" s="5"/>
      <c r="E366" s="19"/>
      <c r="F366" s="5"/>
      <c r="H366" s="19"/>
      <c r="Q366" s="5"/>
    </row>
    <row r="367">
      <c r="A367" s="44"/>
      <c r="C367" s="5"/>
      <c r="E367" s="19"/>
      <c r="F367" s="5"/>
      <c r="H367" s="19"/>
      <c r="Q367" s="5"/>
    </row>
    <row r="368">
      <c r="A368" s="44"/>
      <c r="C368" s="5"/>
      <c r="E368" s="19"/>
      <c r="F368" s="5"/>
      <c r="H368" s="19"/>
      <c r="Q368" s="5"/>
    </row>
    <row r="369">
      <c r="A369" s="44"/>
      <c r="C369" s="5"/>
      <c r="E369" s="19"/>
      <c r="F369" s="5"/>
      <c r="H369" s="19"/>
      <c r="Q369" s="5"/>
    </row>
    <row r="370">
      <c r="A370" s="44"/>
      <c r="C370" s="5"/>
      <c r="E370" s="19"/>
      <c r="F370" s="5"/>
      <c r="H370" s="19"/>
      <c r="Q370" s="5"/>
    </row>
    <row r="371">
      <c r="A371" s="44"/>
      <c r="C371" s="5"/>
      <c r="E371" s="19"/>
      <c r="F371" s="5"/>
      <c r="H371" s="19"/>
      <c r="Q371" s="5"/>
    </row>
    <row r="372">
      <c r="A372" s="44"/>
      <c r="C372" s="5"/>
      <c r="E372" s="19"/>
      <c r="F372" s="5"/>
      <c r="H372" s="19"/>
      <c r="Q372" s="5"/>
    </row>
    <row r="373">
      <c r="A373" s="44"/>
      <c r="C373" s="5"/>
      <c r="E373" s="19"/>
      <c r="F373" s="5"/>
      <c r="H373" s="19"/>
      <c r="Q373" s="5"/>
    </row>
    <row r="374">
      <c r="A374" s="44"/>
      <c r="C374" s="5"/>
      <c r="E374" s="19"/>
      <c r="F374" s="5"/>
      <c r="H374" s="19"/>
      <c r="Q374" s="5"/>
    </row>
    <row r="375">
      <c r="A375" s="44"/>
      <c r="C375" s="5"/>
      <c r="E375" s="19"/>
      <c r="F375" s="5"/>
      <c r="H375" s="19"/>
      <c r="Q375" s="5"/>
    </row>
    <row r="376">
      <c r="A376" s="44"/>
      <c r="C376" s="5"/>
      <c r="E376" s="19"/>
      <c r="F376" s="5"/>
      <c r="H376" s="19"/>
      <c r="Q376" s="5"/>
    </row>
    <row r="377">
      <c r="A377" s="44"/>
      <c r="C377" s="5"/>
      <c r="E377" s="19"/>
      <c r="F377" s="5"/>
      <c r="H377" s="19"/>
      <c r="Q377" s="5"/>
    </row>
    <row r="378">
      <c r="A378" s="44"/>
      <c r="C378" s="5"/>
      <c r="E378" s="19"/>
      <c r="F378" s="5"/>
      <c r="H378" s="19"/>
      <c r="Q378" s="5"/>
    </row>
    <row r="379">
      <c r="A379" s="44"/>
      <c r="C379" s="5"/>
      <c r="E379" s="19"/>
      <c r="F379" s="5"/>
      <c r="H379" s="19"/>
      <c r="Q379" s="5"/>
    </row>
    <row r="380">
      <c r="A380" s="44"/>
      <c r="C380" s="5"/>
      <c r="E380" s="19"/>
      <c r="F380" s="5"/>
      <c r="H380" s="19"/>
      <c r="Q380" s="5"/>
    </row>
    <row r="381">
      <c r="A381" s="44"/>
      <c r="C381" s="5"/>
      <c r="E381" s="19"/>
      <c r="F381" s="5"/>
      <c r="H381" s="19"/>
      <c r="Q381" s="5"/>
    </row>
    <row r="382">
      <c r="A382" s="44"/>
      <c r="C382" s="5"/>
      <c r="E382" s="19"/>
      <c r="F382" s="5"/>
      <c r="H382" s="19"/>
      <c r="Q382" s="5"/>
    </row>
    <row r="383">
      <c r="A383" s="44"/>
      <c r="C383" s="5"/>
      <c r="E383" s="19"/>
      <c r="F383" s="5"/>
      <c r="H383" s="19"/>
      <c r="Q383" s="5"/>
    </row>
    <row r="384">
      <c r="A384" s="44"/>
      <c r="C384" s="5"/>
      <c r="E384" s="19"/>
      <c r="F384" s="5"/>
      <c r="H384" s="19"/>
      <c r="Q384" s="5"/>
    </row>
    <row r="385">
      <c r="A385" s="44"/>
      <c r="C385" s="5"/>
      <c r="E385" s="19"/>
      <c r="F385" s="5"/>
      <c r="H385" s="19"/>
      <c r="Q385" s="5"/>
    </row>
    <row r="386">
      <c r="A386" s="44"/>
      <c r="C386" s="5"/>
      <c r="E386" s="19"/>
      <c r="F386" s="5"/>
      <c r="H386" s="19"/>
      <c r="Q386" s="5"/>
    </row>
    <row r="387">
      <c r="A387" s="44"/>
      <c r="C387" s="5"/>
      <c r="E387" s="19"/>
      <c r="F387" s="5"/>
      <c r="H387" s="19"/>
      <c r="Q387" s="5"/>
    </row>
    <row r="388">
      <c r="A388" s="44"/>
      <c r="C388" s="5"/>
      <c r="E388" s="19"/>
      <c r="F388" s="5"/>
      <c r="H388" s="19"/>
      <c r="Q388" s="5"/>
    </row>
    <row r="389">
      <c r="A389" s="44"/>
      <c r="C389" s="5"/>
      <c r="E389" s="19"/>
      <c r="F389" s="5"/>
      <c r="H389" s="19"/>
      <c r="Q389" s="5"/>
    </row>
    <row r="390">
      <c r="A390" s="44"/>
      <c r="C390" s="5"/>
      <c r="E390" s="19"/>
      <c r="F390" s="5"/>
      <c r="H390" s="19"/>
      <c r="Q390" s="5"/>
    </row>
    <row r="391">
      <c r="A391" s="44"/>
      <c r="C391" s="5"/>
      <c r="E391" s="19"/>
      <c r="F391" s="5"/>
      <c r="H391" s="19"/>
      <c r="Q391" s="5"/>
    </row>
    <row r="392">
      <c r="A392" s="44"/>
      <c r="C392" s="5"/>
      <c r="E392" s="19"/>
      <c r="F392" s="5"/>
      <c r="H392" s="19"/>
      <c r="Q392" s="5"/>
    </row>
    <row r="393">
      <c r="A393" s="44"/>
      <c r="C393" s="5"/>
      <c r="E393" s="19"/>
      <c r="F393" s="5"/>
      <c r="H393" s="19"/>
      <c r="Q393" s="5"/>
    </row>
    <row r="394">
      <c r="A394" s="44"/>
      <c r="C394" s="5"/>
      <c r="E394" s="19"/>
      <c r="F394" s="5"/>
      <c r="H394" s="19"/>
      <c r="Q394" s="5"/>
    </row>
    <row r="395">
      <c r="A395" s="44"/>
      <c r="C395" s="5"/>
      <c r="E395" s="19"/>
      <c r="F395" s="5"/>
      <c r="H395" s="19"/>
      <c r="Q395" s="5"/>
    </row>
    <row r="396">
      <c r="A396" s="44"/>
      <c r="C396" s="5"/>
      <c r="E396" s="19"/>
      <c r="F396" s="5"/>
      <c r="H396" s="19"/>
      <c r="Q396" s="5"/>
    </row>
    <row r="397">
      <c r="A397" s="44"/>
      <c r="C397" s="5"/>
      <c r="E397" s="19"/>
      <c r="F397" s="5"/>
      <c r="H397" s="19"/>
      <c r="Q397" s="5"/>
    </row>
    <row r="398">
      <c r="A398" s="44"/>
      <c r="C398" s="5"/>
      <c r="E398" s="19"/>
      <c r="F398" s="5"/>
      <c r="H398" s="19"/>
      <c r="Q398" s="5"/>
    </row>
    <row r="399">
      <c r="A399" s="44"/>
      <c r="C399" s="5"/>
      <c r="E399" s="19"/>
      <c r="F399" s="5"/>
      <c r="H399" s="19"/>
      <c r="Q399" s="5"/>
    </row>
    <row r="400">
      <c r="A400" s="44"/>
      <c r="C400" s="5"/>
      <c r="E400" s="19"/>
      <c r="F400" s="5"/>
      <c r="H400" s="19"/>
      <c r="Q400" s="5"/>
    </row>
    <row r="401">
      <c r="A401" s="44"/>
      <c r="C401" s="5"/>
      <c r="E401" s="19"/>
      <c r="F401" s="5"/>
      <c r="H401" s="19"/>
      <c r="Q401" s="5"/>
    </row>
    <row r="402">
      <c r="A402" s="44"/>
      <c r="C402" s="5"/>
      <c r="E402" s="19"/>
      <c r="F402" s="5"/>
      <c r="H402" s="19"/>
      <c r="Q402" s="5"/>
    </row>
    <row r="403">
      <c r="A403" s="44"/>
      <c r="C403" s="5"/>
      <c r="E403" s="19"/>
      <c r="F403" s="5"/>
      <c r="H403" s="19"/>
      <c r="Q403" s="5"/>
    </row>
    <row r="404">
      <c r="A404" s="44"/>
      <c r="C404" s="5"/>
      <c r="E404" s="19"/>
      <c r="F404" s="5"/>
      <c r="H404" s="19"/>
      <c r="Q404" s="5"/>
    </row>
    <row r="405">
      <c r="A405" s="44"/>
      <c r="C405" s="5"/>
      <c r="E405" s="19"/>
      <c r="F405" s="5"/>
      <c r="H405" s="19"/>
      <c r="Q405" s="5"/>
    </row>
    <row r="406">
      <c r="A406" s="44"/>
      <c r="C406" s="5"/>
      <c r="E406" s="19"/>
      <c r="F406" s="5"/>
      <c r="H406" s="19"/>
      <c r="Q406" s="5"/>
    </row>
    <row r="407">
      <c r="A407" s="44"/>
      <c r="C407" s="5"/>
      <c r="E407" s="19"/>
      <c r="F407" s="5"/>
      <c r="H407" s="19"/>
      <c r="Q407" s="5"/>
    </row>
    <row r="408">
      <c r="A408" s="44"/>
      <c r="C408" s="5"/>
      <c r="E408" s="19"/>
      <c r="F408" s="5"/>
      <c r="H408" s="19"/>
      <c r="Q408" s="5"/>
    </row>
    <row r="409">
      <c r="A409" s="44"/>
      <c r="C409" s="5"/>
      <c r="E409" s="19"/>
      <c r="F409" s="5"/>
      <c r="H409" s="19"/>
      <c r="Q409" s="5"/>
    </row>
    <row r="410">
      <c r="A410" s="44"/>
      <c r="C410" s="5"/>
      <c r="E410" s="19"/>
      <c r="F410" s="5"/>
      <c r="H410" s="19"/>
      <c r="Q410" s="5"/>
    </row>
    <row r="411">
      <c r="A411" s="44"/>
      <c r="C411" s="5"/>
      <c r="E411" s="19"/>
      <c r="F411" s="5"/>
      <c r="H411" s="19"/>
      <c r="Q411" s="5"/>
    </row>
    <row r="412">
      <c r="A412" s="44"/>
      <c r="C412" s="5"/>
      <c r="E412" s="19"/>
      <c r="F412" s="5"/>
      <c r="H412" s="19"/>
      <c r="Q412" s="5"/>
    </row>
    <row r="413">
      <c r="A413" s="44"/>
      <c r="C413" s="5"/>
      <c r="E413" s="19"/>
      <c r="F413" s="5"/>
      <c r="H413" s="19"/>
      <c r="Q413" s="5"/>
    </row>
    <row r="414">
      <c r="A414" s="44"/>
      <c r="C414" s="5"/>
      <c r="E414" s="19"/>
      <c r="F414" s="5"/>
      <c r="H414" s="19"/>
      <c r="Q414" s="5"/>
    </row>
    <row r="415">
      <c r="A415" s="44"/>
      <c r="C415" s="5"/>
      <c r="E415" s="19"/>
      <c r="F415" s="5"/>
      <c r="H415" s="19"/>
      <c r="Q415" s="5"/>
    </row>
    <row r="416">
      <c r="A416" s="44"/>
      <c r="C416" s="5"/>
      <c r="E416" s="19"/>
      <c r="F416" s="5"/>
      <c r="H416" s="19"/>
      <c r="Q416" s="5"/>
    </row>
    <row r="417">
      <c r="A417" s="44"/>
      <c r="C417" s="5"/>
      <c r="E417" s="19"/>
      <c r="F417" s="5"/>
      <c r="H417" s="19"/>
      <c r="Q417" s="5"/>
    </row>
    <row r="418">
      <c r="A418" s="44"/>
      <c r="C418" s="5"/>
      <c r="E418" s="19"/>
      <c r="F418" s="5"/>
      <c r="H418" s="19"/>
      <c r="Q418" s="5"/>
    </row>
    <row r="419">
      <c r="A419" s="44"/>
      <c r="C419" s="5"/>
      <c r="E419" s="19"/>
      <c r="F419" s="5"/>
      <c r="H419" s="19"/>
      <c r="Q419" s="5"/>
    </row>
    <row r="420">
      <c r="A420" s="44"/>
      <c r="C420" s="5"/>
      <c r="E420" s="19"/>
      <c r="F420" s="5"/>
      <c r="H420" s="19"/>
      <c r="Q420" s="5"/>
    </row>
    <row r="421">
      <c r="A421" s="44"/>
      <c r="C421" s="5"/>
      <c r="E421" s="19"/>
      <c r="F421" s="5"/>
      <c r="H421" s="19"/>
      <c r="Q421" s="5"/>
    </row>
    <row r="422">
      <c r="A422" s="44"/>
      <c r="C422" s="5"/>
      <c r="E422" s="19"/>
      <c r="F422" s="5"/>
      <c r="H422" s="19"/>
      <c r="Q422" s="5"/>
    </row>
    <row r="423">
      <c r="A423" s="44"/>
      <c r="C423" s="5"/>
      <c r="E423" s="19"/>
      <c r="F423" s="5"/>
      <c r="H423" s="19"/>
      <c r="Q423" s="5"/>
    </row>
    <row r="424">
      <c r="A424" s="44"/>
      <c r="C424" s="5"/>
      <c r="E424" s="19"/>
      <c r="F424" s="5"/>
      <c r="H424" s="19"/>
      <c r="Q424" s="5"/>
    </row>
    <row r="425">
      <c r="A425" s="44"/>
      <c r="C425" s="5"/>
      <c r="E425" s="19"/>
      <c r="F425" s="5"/>
      <c r="H425" s="19"/>
      <c r="Q425" s="5"/>
    </row>
    <row r="426">
      <c r="A426" s="44"/>
      <c r="C426" s="5"/>
      <c r="E426" s="19"/>
      <c r="F426" s="5"/>
      <c r="H426" s="19"/>
      <c r="Q426" s="5"/>
    </row>
    <row r="427">
      <c r="A427" s="44"/>
      <c r="C427" s="5"/>
      <c r="E427" s="19"/>
      <c r="F427" s="5"/>
      <c r="H427" s="19"/>
      <c r="Q427" s="5"/>
    </row>
    <row r="428">
      <c r="A428" s="44"/>
      <c r="C428" s="5"/>
      <c r="E428" s="19"/>
      <c r="F428" s="5"/>
      <c r="H428" s="19"/>
      <c r="Q428" s="5"/>
    </row>
    <row r="429">
      <c r="A429" s="44"/>
      <c r="C429" s="5"/>
      <c r="E429" s="19"/>
      <c r="F429" s="5"/>
      <c r="H429" s="19"/>
      <c r="Q429" s="5"/>
    </row>
    <row r="430">
      <c r="A430" s="44"/>
      <c r="C430" s="5"/>
      <c r="E430" s="19"/>
      <c r="F430" s="5"/>
      <c r="H430" s="19"/>
      <c r="Q430" s="5"/>
    </row>
    <row r="431">
      <c r="A431" s="44"/>
      <c r="C431" s="5"/>
      <c r="E431" s="19"/>
      <c r="F431" s="5"/>
      <c r="H431" s="19"/>
      <c r="Q431" s="5"/>
    </row>
    <row r="432">
      <c r="A432" s="44"/>
      <c r="C432" s="5"/>
      <c r="E432" s="19"/>
      <c r="F432" s="5"/>
      <c r="H432" s="19"/>
      <c r="Q432" s="5"/>
    </row>
    <row r="433">
      <c r="A433" s="44"/>
      <c r="C433" s="5"/>
      <c r="E433" s="19"/>
      <c r="F433" s="5"/>
      <c r="H433" s="19"/>
      <c r="Q433" s="5"/>
    </row>
    <row r="434">
      <c r="A434" s="44"/>
      <c r="C434" s="5"/>
      <c r="E434" s="19"/>
      <c r="F434" s="5"/>
      <c r="H434" s="19"/>
      <c r="Q434" s="5"/>
    </row>
    <row r="435">
      <c r="A435" s="44"/>
      <c r="C435" s="5"/>
      <c r="E435" s="19"/>
      <c r="F435" s="5"/>
      <c r="H435" s="19"/>
      <c r="Q435" s="5"/>
    </row>
    <row r="436">
      <c r="A436" s="44"/>
      <c r="C436" s="5"/>
      <c r="E436" s="19"/>
      <c r="F436" s="5"/>
      <c r="H436" s="19"/>
      <c r="Q436" s="5"/>
    </row>
    <row r="437">
      <c r="A437" s="44"/>
      <c r="C437" s="5"/>
      <c r="E437" s="19"/>
      <c r="F437" s="5"/>
      <c r="H437" s="19"/>
      <c r="Q437" s="5"/>
    </row>
    <row r="438">
      <c r="A438" s="44"/>
      <c r="C438" s="5"/>
      <c r="E438" s="19"/>
      <c r="F438" s="5"/>
      <c r="H438" s="19"/>
      <c r="Q438" s="5"/>
    </row>
    <row r="439">
      <c r="A439" s="44"/>
      <c r="C439" s="5"/>
      <c r="E439" s="19"/>
      <c r="F439" s="5"/>
      <c r="H439" s="19"/>
      <c r="Q439" s="5"/>
    </row>
    <row r="440">
      <c r="A440" s="44"/>
      <c r="C440" s="5"/>
      <c r="E440" s="19"/>
      <c r="F440" s="5"/>
      <c r="H440" s="19"/>
      <c r="Q440" s="5"/>
    </row>
    <row r="441">
      <c r="A441" s="44"/>
      <c r="C441" s="5"/>
      <c r="E441" s="19"/>
      <c r="F441" s="5"/>
      <c r="H441" s="19"/>
      <c r="Q441" s="5"/>
    </row>
    <row r="442">
      <c r="A442" s="44"/>
      <c r="C442" s="5"/>
      <c r="E442" s="19"/>
      <c r="F442" s="5"/>
      <c r="H442" s="19"/>
      <c r="Q442" s="5"/>
    </row>
    <row r="443">
      <c r="A443" s="44"/>
      <c r="C443" s="5"/>
      <c r="E443" s="19"/>
      <c r="F443" s="5"/>
      <c r="H443" s="19"/>
      <c r="Q443" s="5"/>
    </row>
    <row r="444">
      <c r="A444" s="44"/>
      <c r="C444" s="5"/>
      <c r="E444" s="19"/>
      <c r="F444" s="5"/>
      <c r="H444" s="19"/>
      <c r="Q444" s="5"/>
    </row>
    <row r="445">
      <c r="A445" s="44"/>
      <c r="C445" s="5"/>
      <c r="E445" s="19"/>
      <c r="F445" s="5"/>
      <c r="H445" s="19"/>
      <c r="Q445" s="5"/>
    </row>
    <row r="446">
      <c r="A446" s="44"/>
      <c r="C446" s="5"/>
      <c r="E446" s="19"/>
      <c r="F446" s="5"/>
      <c r="H446" s="19"/>
      <c r="Q446" s="5"/>
    </row>
    <row r="447">
      <c r="A447" s="44"/>
      <c r="C447" s="5"/>
      <c r="E447" s="19"/>
      <c r="F447" s="5"/>
      <c r="H447" s="19"/>
      <c r="Q447" s="5"/>
    </row>
    <row r="448">
      <c r="A448" s="44"/>
      <c r="C448" s="5"/>
      <c r="E448" s="19"/>
      <c r="F448" s="5"/>
      <c r="H448" s="19"/>
      <c r="Q448" s="5"/>
    </row>
    <row r="449">
      <c r="A449" s="44"/>
      <c r="C449" s="5"/>
      <c r="E449" s="19"/>
      <c r="F449" s="5"/>
      <c r="H449" s="19"/>
      <c r="Q449" s="5"/>
    </row>
    <row r="450">
      <c r="A450" s="44"/>
      <c r="C450" s="5"/>
      <c r="E450" s="19"/>
      <c r="F450" s="5"/>
      <c r="H450" s="19"/>
      <c r="Q450" s="5"/>
    </row>
    <row r="451">
      <c r="A451" s="44"/>
      <c r="C451" s="5"/>
      <c r="E451" s="19"/>
      <c r="F451" s="5"/>
      <c r="H451" s="19"/>
      <c r="Q451" s="5"/>
    </row>
    <row r="452">
      <c r="A452" s="44"/>
      <c r="C452" s="5"/>
      <c r="E452" s="19"/>
      <c r="F452" s="5"/>
      <c r="H452" s="19"/>
      <c r="Q452" s="5"/>
    </row>
    <row r="453">
      <c r="A453" s="44"/>
      <c r="C453" s="5"/>
      <c r="E453" s="19"/>
      <c r="F453" s="5"/>
      <c r="H453" s="19"/>
      <c r="Q453" s="5"/>
    </row>
    <row r="454">
      <c r="A454" s="44"/>
      <c r="C454" s="5"/>
      <c r="E454" s="19"/>
      <c r="F454" s="5"/>
      <c r="H454" s="19"/>
      <c r="Q454" s="5"/>
    </row>
    <row r="455">
      <c r="A455" s="44"/>
      <c r="C455" s="5"/>
      <c r="E455" s="19"/>
      <c r="F455" s="5"/>
      <c r="H455" s="19"/>
      <c r="Q455" s="5"/>
    </row>
    <row r="456">
      <c r="A456" s="44"/>
      <c r="C456" s="5"/>
      <c r="E456" s="19"/>
      <c r="F456" s="5"/>
      <c r="H456" s="19"/>
      <c r="Q456" s="5"/>
    </row>
    <row r="457">
      <c r="A457" s="44"/>
      <c r="C457" s="5"/>
      <c r="E457" s="19"/>
      <c r="F457" s="5"/>
      <c r="H457" s="19"/>
      <c r="Q457" s="5"/>
    </row>
    <row r="458">
      <c r="A458" s="44"/>
      <c r="C458" s="5"/>
      <c r="E458" s="19"/>
      <c r="F458" s="5"/>
      <c r="H458" s="19"/>
      <c r="Q458" s="5"/>
    </row>
    <row r="459">
      <c r="A459" s="44"/>
      <c r="C459" s="5"/>
      <c r="E459" s="19"/>
      <c r="F459" s="5"/>
      <c r="H459" s="19"/>
      <c r="Q459" s="5"/>
    </row>
    <row r="460">
      <c r="A460" s="44"/>
      <c r="C460" s="5"/>
      <c r="E460" s="19"/>
      <c r="F460" s="5"/>
      <c r="H460" s="19"/>
      <c r="Q460" s="5"/>
    </row>
    <row r="461">
      <c r="A461" s="44"/>
      <c r="C461" s="5"/>
      <c r="E461" s="19"/>
      <c r="F461" s="5"/>
      <c r="H461" s="19"/>
      <c r="Q461" s="5"/>
    </row>
    <row r="462">
      <c r="A462" s="44"/>
      <c r="C462" s="5"/>
      <c r="E462" s="19"/>
      <c r="F462" s="5"/>
      <c r="H462" s="19"/>
      <c r="Q462" s="5"/>
    </row>
    <row r="463">
      <c r="A463" s="44"/>
      <c r="C463" s="5"/>
      <c r="E463" s="19"/>
      <c r="F463" s="5"/>
      <c r="H463" s="19"/>
      <c r="Q463" s="5"/>
    </row>
    <row r="464">
      <c r="A464" s="44"/>
      <c r="C464" s="5"/>
      <c r="E464" s="19"/>
      <c r="F464" s="5"/>
      <c r="H464" s="19"/>
      <c r="Q464" s="5"/>
    </row>
    <row r="465">
      <c r="A465" s="44"/>
      <c r="C465" s="5"/>
      <c r="E465" s="19"/>
      <c r="F465" s="5"/>
      <c r="H465" s="19"/>
      <c r="Q465" s="5"/>
    </row>
    <row r="466">
      <c r="A466" s="44"/>
      <c r="C466" s="5"/>
      <c r="E466" s="19"/>
      <c r="F466" s="5"/>
      <c r="H466" s="19"/>
      <c r="Q466" s="5"/>
    </row>
    <row r="467">
      <c r="A467" s="44"/>
      <c r="C467" s="5"/>
      <c r="E467" s="19"/>
      <c r="F467" s="5"/>
      <c r="H467" s="19"/>
      <c r="Q467" s="5"/>
    </row>
    <row r="468">
      <c r="A468" s="44"/>
      <c r="C468" s="5"/>
      <c r="E468" s="19"/>
      <c r="F468" s="5"/>
      <c r="H468" s="19"/>
      <c r="Q468" s="5"/>
    </row>
    <row r="469">
      <c r="A469" s="44"/>
      <c r="C469" s="5"/>
      <c r="E469" s="19"/>
      <c r="F469" s="5"/>
      <c r="H469" s="19"/>
      <c r="Q469" s="5"/>
    </row>
    <row r="470">
      <c r="A470" s="44"/>
      <c r="C470" s="5"/>
      <c r="E470" s="19"/>
      <c r="F470" s="5"/>
      <c r="H470" s="19"/>
      <c r="Q470" s="5"/>
    </row>
    <row r="471">
      <c r="A471" s="44"/>
      <c r="C471" s="5"/>
      <c r="E471" s="19"/>
      <c r="F471" s="5"/>
      <c r="H471" s="19"/>
      <c r="Q471" s="5"/>
    </row>
    <row r="472">
      <c r="A472" s="44"/>
      <c r="C472" s="5"/>
      <c r="E472" s="19"/>
      <c r="F472" s="5"/>
      <c r="H472" s="19"/>
      <c r="Q472" s="5"/>
    </row>
    <row r="473">
      <c r="A473" s="44"/>
      <c r="C473" s="5"/>
      <c r="E473" s="19"/>
      <c r="F473" s="5"/>
      <c r="H473" s="19"/>
      <c r="Q473" s="5"/>
    </row>
    <row r="474">
      <c r="A474" s="44"/>
      <c r="C474" s="5"/>
      <c r="E474" s="19"/>
      <c r="F474" s="5"/>
      <c r="H474" s="19"/>
      <c r="Q474" s="5"/>
    </row>
    <row r="475">
      <c r="A475" s="44"/>
      <c r="C475" s="5"/>
      <c r="E475" s="19"/>
      <c r="F475" s="5"/>
      <c r="H475" s="19"/>
      <c r="Q475" s="5"/>
    </row>
    <row r="476">
      <c r="A476" s="44"/>
      <c r="C476" s="5"/>
      <c r="E476" s="19"/>
      <c r="F476" s="5"/>
      <c r="H476" s="19"/>
      <c r="Q476" s="5"/>
    </row>
    <row r="477">
      <c r="A477" s="44"/>
      <c r="C477" s="5"/>
      <c r="E477" s="19"/>
      <c r="F477" s="5"/>
      <c r="H477" s="19"/>
      <c r="Q477" s="5"/>
    </row>
    <row r="478">
      <c r="A478" s="44"/>
      <c r="C478" s="5"/>
      <c r="E478" s="19"/>
      <c r="F478" s="5"/>
      <c r="H478" s="19"/>
      <c r="Q478" s="5"/>
    </row>
    <row r="479">
      <c r="A479" s="44"/>
      <c r="C479" s="5"/>
      <c r="E479" s="19"/>
      <c r="F479" s="5"/>
      <c r="H479" s="19"/>
      <c r="Q479" s="5"/>
    </row>
    <row r="480">
      <c r="A480" s="44"/>
      <c r="C480" s="5"/>
      <c r="E480" s="19"/>
      <c r="F480" s="5"/>
      <c r="H480" s="19"/>
      <c r="Q480" s="5"/>
    </row>
    <row r="481">
      <c r="A481" s="44"/>
      <c r="C481" s="5"/>
      <c r="E481" s="19"/>
      <c r="F481" s="5"/>
      <c r="H481" s="19"/>
      <c r="Q481" s="5"/>
    </row>
    <row r="482">
      <c r="A482" s="44"/>
      <c r="C482" s="5"/>
      <c r="E482" s="19"/>
      <c r="F482" s="5"/>
      <c r="H482" s="19"/>
      <c r="Q482" s="5"/>
    </row>
    <row r="483">
      <c r="A483" s="44"/>
      <c r="C483" s="5"/>
      <c r="E483" s="19"/>
      <c r="F483" s="5"/>
      <c r="H483" s="19"/>
      <c r="Q483" s="5"/>
    </row>
    <row r="484">
      <c r="A484" s="44"/>
      <c r="C484" s="5"/>
      <c r="E484" s="19"/>
      <c r="F484" s="5"/>
      <c r="H484" s="19"/>
      <c r="Q484" s="5"/>
    </row>
    <row r="485">
      <c r="A485" s="44"/>
      <c r="C485" s="5"/>
      <c r="E485" s="19"/>
      <c r="F485" s="5"/>
      <c r="H485" s="19"/>
      <c r="Q485" s="5"/>
    </row>
    <row r="486">
      <c r="A486" s="44"/>
      <c r="C486" s="5"/>
      <c r="E486" s="19"/>
      <c r="F486" s="5"/>
      <c r="H486" s="19"/>
      <c r="Q486" s="5"/>
    </row>
    <row r="487">
      <c r="A487" s="44"/>
      <c r="C487" s="5"/>
      <c r="E487" s="19"/>
      <c r="F487" s="5"/>
      <c r="H487" s="19"/>
      <c r="Q487" s="5"/>
    </row>
    <row r="488">
      <c r="A488" s="44"/>
      <c r="C488" s="5"/>
      <c r="E488" s="19"/>
      <c r="F488" s="5"/>
      <c r="H488" s="19"/>
      <c r="Q488" s="5"/>
    </row>
    <row r="489">
      <c r="A489" s="44"/>
      <c r="C489" s="5"/>
      <c r="E489" s="19"/>
      <c r="F489" s="5"/>
      <c r="H489" s="19"/>
      <c r="Q489" s="5"/>
    </row>
    <row r="490">
      <c r="A490" s="44"/>
      <c r="C490" s="5"/>
      <c r="E490" s="19"/>
      <c r="F490" s="5"/>
      <c r="H490" s="19"/>
      <c r="Q490" s="5"/>
    </row>
    <row r="491">
      <c r="A491" s="44"/>
      <c r="C491" s="5"/>
      <c r="E491" s="19"/>
      <c r="F491" s="5"/>
      <c r="H491" s="19"/>
      <c r="Q491" s="5"/>
    </row>
    <row r="492">
      <c r="A492" s="44"/>
      <c r="C492" s="5"/>
      <c r="E492" s="19"/>
      <c r="F492" s="5"/>
      <c r="H492" s="19"/>
      <c r="Q492" s="5"/>
    </row>
    <row r="493">
      <c r="A493" s="44"/>
      <c r="C493" s="5"/>
      <c r="E493" s="19"/>
      <c r="F493" s="5"/>
      <c r="H493" s="19"/>
      <c r="Q493" s="5"/>
    </row>
    <row r="494">
      <c r="A494" s="44"/>
      <c r="C494" s="5"/>
      <c r="E494" s="19"/>
      <c r="F494" s="5"/>
      <c r="H494" s="19"/>
      <c r="Q494" s="5"/>
    </row>
    <row r="495">
      <c r="A495" s="44"/>
      <c r="C495" s="5"/>
      <c r="E495" s="19"/>
      <c r="F495" s="5"/>
      <c r="H495" s="19"/>
      <c r="Q495" s="5"/>
    </row>
    <row r="496">
      <c r="A496" s="44"/>
      <c r="C496" s="5"/>
      <c r="E496" s="19"/>
      <c r="F496" s="5"/>
      <c r="H496" s="19"/>
      <c r="Q496" s="5"/>
    </row>
    <row r="497">
      <c r="A497" s="44"/>
      <c r="C497" s="5"/>
      <c r="E497" s="19"/>
      <c r="F497" s="5"/>
      <c r="H497" s="19"/>
      <c r="Q497" s="5"/>
    </row>
    <row r="498">
      <c r="A498" s="44"/>
      <c r="C498" s="5"/>
      <c r="E498" s="19"/>
      <c r="F498" s="5"/>
      <c r="H498" s="19"/>
      <c r="Q498" s="5"/>
    </row>
    <row r="499">
      <c r="A499" s="44"/>
      <c r="C499" s="5"/>
      <c r="E499" s="19"/>
      <c r="F499" s="5"/>
      <c r="H499" s="19"/>
      <c r="Q499" s="5"/>
    </row>
    <row r="500">
      <c r="A500" s="44"/>
      <c r="C500" s="5"/>
      <c r="E500" s="19"/>
      <c r="F500" s="5"/>
      <c r="H500" s="19"/>
      <c r="Q500" s="5"/>
    </row>
    <row r="501">
      <c r="A501" s="44"/>
      <c r="C501" s="5"/>
      <c r="E501" s="19"/>
      <c r="F501" s="5"/>
      <c r="H501" s="19"/>
      <c r="Q501" s="5"/>
    </row>
    <row r="502">
      <c r="A502" s="44"/>
      <c r="C502" s="5"/>
      <c r="E502" s="19"/>
      <c r="F502" s="5"/>
      <c r="H502" s="19"/>
      <c r="Q502" s="5"/>
    </row>
    <row r="503">
      <c r="A503" s="44"/>
      <c r="C503" s="5"/>
      <c r="E503" s="19"/>
      <c r="F503" s="5"/>
      <c r="H503" s="19"/>
      <c r="Q503" s="5"/>
    </row>
    <row r="504">
      <c r="A504" s="44"/>
      <c r="C504" s="5"/>
      <c r="E504" s="19"/>
      <c r="F504" s="5"/>
      <c r="H504" s="19"/>
      <c r="Q504" s="5"/>
    </row>
    <row r="505">
      <c r="A505" s="44"/>
      <c r="C505" s="5"/>
      <c r="E505" s="19"/>
      <c r="F505" s="5"/>
      <c r="H505" s="19"/>
      <c r="Q505" s="5"/>
    </row>
    <row r="506">
      <c r="A506" s="44"/>
      <c r="C506" s="5"/>
      <c r="E506" s="19"/>
      <c r="F506" s="5"/>
      <c r="H506" s="19"/>
      <c r="Q506" s="5"/>
    </row>
    <row r="507">
      <c r="A507" s="44"/>
      <c r="C507" s="5"/>
      <c r="E507" s="19"/>
      <c r="F507" s="5"/>
      <c r="H507" s="19"/>
      <c r="Q507" s="5"/>
    </row>
    <row r="508">
      <c r="A508" s="44"/>
      <c r="C508" s="5"/>
      <c r="E508" s="19"/>
      <c r="F508" s="5"/>
      <c r="H508" s="19"/>
      <c r="Q508" s="5"/>
    </row>
    <row r="509">
      <c r="A509" s="44"/>
      <c r="C509" s="5"/>
      <c r="E509" s="19"/>
      <c r="F509" s="5"/>
      <c r="H509" s="19"/>
      <c r="Q509" s="5"/>
    </row>
    <row r="510">
      <c r="A510" s="44"/>
      <c r="C510" s="5"/>
      <c r="E510" s="19"/>
      <c r="F510" s="5"/>
      <c r="H510" s="19"/>
      <c r="Q510" s="5"/>
    </row>
    <row r="511">
      <c r="A511" s="44"/>
      <c r="C511" s="5"/>
      <c r="E511" s="19"/>
      <c r="F511" s="5"/>
      <c r="H511" s="19"/>
      <c r="Q511" s="5"/>
    </row>
    <row r="512">
      <c r="A512" s="44"/>
      <c r="C512" s="5"/>
      <c r="E512" s="19"/>
      <c r="F512" s="5"/>
      <c r="H512" s="19"/>
      <c r="Q512" s="5"/>
    </row>
    <row r="513">
      <c r="A513" s="44"/>
      <c r="C513" s="5"/>
      <c r="E513" s="19"/>
      <c r="F513" s="5"/>
      <c r="H513" s="19"/>
      <c r="Q513" s="5"/>
    </row>
    <row r="514">
      <c r="A514" s="44"/>
      <c r="C514" s="5"/>
      <c r="E514" s="19"/>
      <c r="F514" s="5"/>
      <c r="H514" s="19"/>
      <c r="Q514" s="5"/>
    </row>
    <row r="515">
      <c r="A515" s="44"/>
      <c r="C515" s="5"/>
      <c r="E515" s="19"/>
      <c r="F515" s="5"/>
      <c r="H515" s="19"/>
      <c r="Q515" s="5"/>
    </row>
    <row r="516">
      <c r="A516" s="44"/>
      <c r="C516" s="5"/>
      <c r="E516" s="19"/>
      <c r="F516" s="5"/>
      <c r="H516" s="19"/>
      <c r="Q516" s="5"/>
    </row>
    <row r="517">
      <c r="A517" s="44"/>
      <c r="C517" s="5"/>
      <c r="E517" s="19"/>
      <c r="F517" s="5"/>
      <c r="H517" s="19"/>
      <c r="Q517" s="5"/>
    </row>
    <row r="518">
      <c r="A518" s="44"/>
      <c r="C518" s="5"/>
      <c r="E518" s="19"/>
      <c r="F518" s="5"/>
      <c r="H518" s="19"/>
      <c r="Q518" s="5"/>
    </row>
    <row r="519">
      <c r="A519" s="44"/>
      <c r="C519" s="5"/>
      <c r="E519" s="19"/>
      <c r="F519" s="5"/>
      <c r="H519" s="19"/>
      <c r="Q519" s="5"/>
    </row>
    <row r="520">
      <c r="A520" s="44"/>
      <c r="C520" s="5"/>
      <c r="E520" s="19"/>
      <c r="F520" s="5"/>
      <c r="H520" s="19"/>
      <c r="Q520" s="5"/>
    </row>
    <row r="521">
      <c r="A521" s="44"/>
      <c r="C521" s="5"/>
      <c r="E521" s="19"/>
      <c r="F521" s="5"/>
      <c r="H521" s="19"/>
      <c r="Q521" s="5"/>
    </row>
    <row r="522">
      <c r="A522" s="44"/>
      <c r="C522" s="5"/>
      <c r="E522" s="19"/>
      <c r="F522" s="5"/>
      <c r="H522" s="19"/>
      <c r="Q522" s="5"/>
    </row>
    <row r="523">
      <c r="A523" s="44"/>
      <c r="C523" s="5"/>
      <c r="E523" s="19"/>
      <c r="F523" s="5"/>
      <c r="H523" s="19"/>
      <c r="Q523" s="5"/>
    </row>
    <row r="524">
      <c r="A524" s="44"/>
      <c r="C524" s="5"/>
      <c r="E524" s="19"/>
      <c r="F524" s="5"/>
      <c r="H524" s="19"/>
      <c r="Q524" s="5"/>
    </row>
    <row r="525">
      <c r="A525" s="44"/>
      <c r="C525" s="5"/>
      <c r="E525" s="19"/>
      <c r="F525" s="5"/>
      <c r="H525" s="19"/>
      <c r="Q525" s="5"/>
    </row>
    <row r="526">
      <c r="A526" s="44"/>
      <c r="C526" s="5"/>
      <c r="E526" s="19"/>
      <c r="F526" s="5"/>
      <c r="H526" s="19"/>
      <c r="Q526" s="5"/>
    </row>
    <row r="527">
      <c r="A527" s="44"/>
      <c r="C527" s="5"/>
      <c r="E527" s="19"/>
      <c r="F527" s="5"/>
      <c r="H527" s="19"/>
      <c r="Q527" s="5"/>
    </row>
    <row r="528">
      <c r="A528" s="44"/>
      <c r="C528" s="5"/>
      <c r="E528" s="19"/>
      <c r="F528" s="5"/>
      <c r="H528" s="19"/>
      <c r="Q528" s="5"/>
    </row>
    <row r="529">
      <c r="A529" s="44"/>
      <c r="C529" s="5"/>
      <c r="E529" s="19"/>
      <c r="F529" s="5"/>
      <c r="H529" s="19"/>
      <c r="Q529" s="5"/>
    </row>
    <row r="530">
      <c r="A530" s="44"/>
      <c r="C530" s="5"/>
      <c r="E530" s="19"/>
      <c r="F530" s="5"/>
      <c r="H530" s="19"/>
      <c r="Q530" s="5"/>
    </row>
    <row r="531">
      <c r="A531" s="44"/>
      <c r="C531" s="5"/>
      <c r="E531" s="19"/>
      <c r="F531" s="5"/>
      <c r="H531" s="19"/>
      <c r="Q531" s="5"/>
    </row>
    <row r="532">
      <c r="A532" s="44"/>
      <c r="C532" s="5"/>
      <c r="E532" s="19"/>
      <c r="F532" s="5"/>
      <c r="H532" s="19"/>
      <c r="Q532" s="5"/>
    </row>
    <row r="533">
      <c r="A533" s="44"/>
      <c r="C533" s="5"/>
      <c r="E533" s="19"/>
      <c r="F533" s="5"/>
      <c r="H533" s="19"/>
      <c r="Q533" s="5"/>
    </row>
    <row r="534">
      <c r="A534" s="44"/>
      <c r="C534" s="5"/>
      <c r="E534" s="19"/>
      <c r="F534" s="5"/>
      <c r="H534" s="19"/>
      <c r="Q534" s="5"/>
    </row>
    <row r="535">
      <c r="A535" s="44"/>
      <c r="C535" s="5"/>
      <c r="E535" s="19"/>
      <c r="F535" s="5"/>
      <c r="H535" s="19"/>
      <c r="Q535" s="5"/>
    </row>
    <row r="536">
      <c r="A536" s="44"/>
      <c r="C536" s="5"/>
      <c r="E536" s="19"/>
      <c r="F536" s="5"/>
      <c r="H536" s="19"/>
      <c r="Q536" s="5"/>
    </row>
    <row r="537">
      <c r="A537" s="44"/>
      <c r="C537" s="5"/>
      <c r="E537" s="19"/>
      <c r="F537" s="5"/>
      <c r="H537" s="19"/>
      <c r="Q537" s="5"/>
    </row>
    <row r="538">
      <c r="A538" s="44"/>
      <c r="C538" s="5"/>
      <c r="E538" s="19"/>
      <c r="F538" s="5"/>
      <c r="H538" s="19"/>
      <c r="Q538" s="5"/>
    </row>
    <row r="539">
      <c r="A539" s="44"/>
      <c r="C539" s="5"/>
      <c r="E539" s="19"/>
      <c r="F539" s="5"/>
      <c r="H539" s="19"/>
      <c r="Q539" s="5"/>
    </row>
    <row r="540">
      <c r="A540" s="44"/>
      <c r="C540" s="5"/>
      <c r="E540" s="19"/>
      <c r="F540" s="5"/>
      <c r="H540" s="19"/>
      <c r="Q540" s="5"/>
    </row>
    <row r="541">
      <c r="A541" s="44"/>
      <c r="C541" s="5"/>
      <c r="E541" s="19"/>
      <c r="F541" s="5"/>
      <c r="H541" s="19"/>
      <c r="Q541" s="5"/>
    </row>
    <row r="542">
      <c r="A542" s="44"/>
      <c r="C542" s="5"/>
      <c r="E542" s="19"/>
      <c r="F542" s="5"/>
      <c r="H542" s="19"/>
      <c r="Q542" s="5"/>
    </row>
    <row r="543">
      <c r="A543" s="44"/>
      <c r="C543" s="5"/>
      <c r="E543" s="19"/>
      <c r="F543" s="5"/>
      <c r="H543" s="19"/>
      <c r="Q543" s="5"/>
    </row>
    <row r="544">
      <c r="A544" s="44"/>
      <c r="C544" s="5"/>
      <c r="E544" s="19"/>
      <c r="F544" s="5"/>
      <c r="H544" s="19"/>
      <c r="Q544" s="5"/>
    </row>
    <row r="545">
      <c r="A545" s="44"/>
      <c r="C545" s="5"/>
      <c r="E545" s="19"/>
      <c r="F545" s="5"/>
      <c r="H545" s="19"/>
      <c r="Q545" s="5"/>
    </row>
    <row r="546">
      <c r="A546" s="44"/>
      <c r="C546" s="5"/>
      <c r="E546" s="19"/>
      <c r="F546" s="5"/>
      <c r="H546" s="19"/>
      <c r="Q546" s="5"/>
    </row>
    <row r="547">
      <c r="A547" s="44"/>
      <c r="C547" s="5"/>
      <c r="E547" s="19"/>
      <c r="F547" s="5"/>
      <c r="H547" s="19"/>
      <c r="Q547" s="5"/>
    </row>
    <row r="548">
      <c r="A548" s="44"/>
      <c r="C548" s="5"/>
      <c r="E548" s="19"/>
      <c r="F548" s="5"/>
      <c r="H548" s="19"/>
      <c r="Q548" s="5"/>
    </row>
    <row r="549">
      <c r="A549" s="44"/>
      <c r="C549" s="5"/>
      <c r="E549" s="19"/>
      <c r="F549" s="5"/>
      <c r="H549" s="19"/>
      <c r="Q549" s="5"/>
    </row>
    <row r="550">
      <c r="A550" s="44"/>
      <c r="C550" s="5"/>
      <c r="E550" s="19"/>
      <c r="F550" s="5"/>
      <c r="H550" s="19"/>
      <c r="Q550" s="5"/>
    </row>
    <row r="551">
      <c r="A551" s="44"/>
      <c r="C551" s="5"/>
      <c r="E551" s="19"/>
      <c r="F551" s="5"/>
      <c r="H551" s="19"/>
      <c r="Q551" s="5"/>
    </row>
    <row r="552">
      <c r="A552" s="44"/>
      <c r="C552" s="5"/>
      <c r="E552" s="19"/>
      <c r="F552" s="5"/>
      <c r="H552" s="19"/>
      <c r="Q552" s="5"/>
    </row>
    <row r="553">
      <c r="A553" s="44"/>
      <c r="C553" s="5"/>
      <c r="E553" s="19"/>
      <c r="F553" s="5"/>
      <c r="H553" s="19"/>
      <c r="Q553" s="5"/>
    </row>
    <row r="554">
      <c r="A554" s="44"/>
      <c r="C554" s="5"/>
      <c r="E554" s="19"/>
      <c r="F554" s="5"/>
      <c r="H554" s="19"/>
      <c r="Q554" s="5"/>
    </row>
    <row r="555">
      <c r="A555" s="44"/>
      <c r="C555" s="5"/>
      <c r="E555" s="19"/>
      <c r="F555" s="5"/>
      <c r="H555" s="19"/>
      <c r="Q555" s="5"/>
    </row>
    <row r="556">
      <c r="A556" s="44"/>
      <c r="C556" s="5"/>
      <c r="E556" s="19"/>
      <c r="F556" s="5"/>
      <c r="H556" s="19"/>
      <c r="Q556" s="5"/>
    </row>
    <row r="557">
      <c r="A557" s="44"/>
      <c r="C557" s="5"/>
      <c r="E557" s="19"/>
      <c r="F557" s="5"/>
      <c r="H557" s="19"/>
      <c r="Q557" s="5"/>
    </row>
    <row r="558">
      <c r="A558" s="44"/>
      <c r="C558" s="5"/>
      <c r="E558" s="19"/>
      <c r="F558" s="5"/>
      <c r="H558" s="19"/>
      <c r="Q558" s="5"/>
    </row>
    <row r="559">
      <c r="A559" s="44"/>
      <c r="C559" s="5"/>
      <c r="E559" s="19"/>
      <c r="F559" s="5"/>
      <c r="H559" s="19"/>
      <c r="Q559" s="5"/>
    </row>
    <row r="560">
      <c r="A560" s="44"/>
      <c r="C560" s="5"/>
      <c r="E560" s="19"/>
      <c r="F560" s="5"/>
      <c r="H560" s="19"/>
      <c r="Q560" s="5"/>
    </row>
    <row r="561">
      <c r="A561" s="44"/>
      <c r="C561" s="5"/>
      <c r="E561" s="19"/>
      <c r="F561" s="5"/>
      <c r="H561" s="19"/>
      <c r="Q561" s="5"/>
    </row>
    <row r="562">
      <c r="A562" s="44"/>
      <c r="C562" s="5"/>
      <c r="E562" s="19"/>
      <c r="F562" s="5"/>
      <c r="H562" s="19"/>
      <c r="Q562" s="5"/>
    </row>
    <row r="563">
      <c r="A563" s="44"/>
      <c r="C563" s="5"/>
      <c r="E563" s="19"/>
      <c r="F563" s="5"/>
      <c r="H563" s="19"/>
      <c r="Q563" s="5"/>
    </row>
    <row r="564">
      <c r="A564" s="44"/>
      <c r="C564" s="5"/>
      <c r="E564" s="19"/>
      <c r="F564" s="5"/>
      <c r="H564" s="19"/>
      <c r="Q564" s="5"/>
    </row>
    <row r="565">
      <c r="A565" s="44"/>
      <c r="C565" s="5"/>
      <c r="E565" s="19"/>
      <c r="F565" s="5"/>
      <c r="H565" s="19"/>
      <c r="Q565" s="5"/>
    </row>
    <row r="566">
      <c r="A566" s="44"/>
      <c r="C566" s="5"/>
      <c r="E566" s="19"/>
      <c r="F566" s="5"/>
      <c r="H566" s="19"/>
      <c r="Q566" s="5"/>
    </row>
    <row r="567">
      <c r="A567" s="44"/>
      <c r="C567" s="5"/>
      <c r="E567" s="19"/>
      <c r="F567" s="5"/>
      <c r="H567" s="19"/>
      <c r="Q567" s="5"/>
    </row>
    <row r="568">
      <c r="A568" s="44"/>
      <c r="C568" s="5"/>
      <c r="E568" s="19"/>
      <c r="F568" s="5"/>
      <c r="H568" s="19"/>
      <c r="Q568" s="5"/>
    </row>
    <row r="569">
      <c r="A569" s="44"/>
      <c r="C569" s="5"/>
      <c r="E569" s="19"/>
      <c r="F569" s="5"/>
      <c r="H569" s="19"/>
      <c r="Q569" s="5"/>
    </row>
    <row r="570">
      <c r="A570" s="44"/>
      <c r="C570" s="5"/>
      <c r="E570" s="19"/>
      <c r="F570" s="5"/>
      <c r="H570" s="19"/>
      <c r="Q570" s="5"/>
    </row>
    <row r="571">
      <c r="A571" s="44"/>
      <c r="C571" s="5"/>
      <c r="E571" s="19"/>
      <c r="F571" s="5"/>
      <c r="H571" s="19"/>
      <c r="Q571" s="5"/>
    </row>
    <row r="572">
      <c r="A572" s="44"/>
      <c r="C572" s="5"/>
      <c r="E572" s="19"/>
      <c r="F572" s="5"/>
      <c r="H572" s="19"/>
      <c r="Q572" s="5"/>
    </row>
    <row r="573">
      <c r="A573" s="44"/>
      <c r="C573" s="5"/>
      <c r="E573" s="19"/>
      <c r="F573" s="5"/>
      <c r="H573" s="19"/>
      <c r="Q573" s="5"/>
    </row>
    <row r="574">
      <c r="A574" s="44"/>
      <c r="C574" s="5"/>
      <c r="E574" s="19"/>
      <c r="F574" s="5"/>
      <c r="H574" s="19"/>
      <c r="Q574" s="5"/>
    </row>
    <row r="575">
      <c r="A575" s="44"/>
      <c r="C575" s="5"/>
      <c r="E575" s="19"/>
      <c r="F575" s="5"/>
      <c r="H575" s="19"/>
      <c r="Q575" s="5"/>
    </row>
    <row r="576">
      <c r="A576" s="44"/>
      <c r="C576" s="5"/>
      <c r="E576" s="19"/>
      <c r="F576" s="5"/>
      <c r="H576" s="19"/>
      <c r="Q576" s="5"/>
    </row>
    <row r="577">
      <c r="A577" s="44"/>
      <c r="C577" s="5"/>
      <c r="E577" s="19"/>
      <c r="F577" s="5"/>
      <c r="H577" s="19"/>
      <c r="Q577" s="5"/>
    </row>
    <row r="578">
      <c r="A578" s="44"/>
      <c r="C578" s="5"/>
      <c r="E578" s="19"/>
      <c r="F578" s="5"/>
      <c r="H578" s="19"/>
      <c r="Q578" s="5"/>
    </row>
    <row r="579">
      <c r="A579" s="44"/>
      <c r="C579" s="5"/>
      <c r="E579" s="19"/>
      <c r="F579" s="5"/>
      <c r="H579" s="19"/>
      <c r="Q579" s="5"/>
    </row>
    <row r="580">
      <c r="A580" s="44"/>
      <c r="C580" s="5"/>
      <c r="E580" s="19"/>
      <c r="F580" s="5"/>
      <c r="H580" s="19"/>
      <c r="Q580" s="5"/>
    </row>
    <row r="581">
      <c r="A581" s="44"/>
      <c r="C581" s="5"/>
      <c r="E581" s="19"/>
      <c r="F581" s="5"/>
      <c r="H581" s="19"/>
      <c r="Q581" s="5"/>
    </row>
    <row r="582">
      <c r="A582" s="44"/>
      <c r="C582" s="5"/>
      <c r="E582" s="19"/>
      <c r="F582" s="5"/>
      <c r="H582" s="19"/>
      <c r="Q582" s="5"/>
    </row>
    <row r="583">
      <c r="A583" s="44"/>
      <c r="C583" s="5"/>
      <c r="E583" s="19"/>
      <c r="F583" s="5"/>
      <c r="H583" s="19"/>
      <c r="Q583" s="5"/>
    </row>
    <row r="584">
      <c r="A584" s="44"/>
      <c r="C584" s="5"/>
      <c r="E584" s="19"/>
      <c r="F584" s="5"/>
      <c r="H584" s="19"/>
      <c r="Q584" s="5"/>
    </row>
    <row r="585">
      <c r="A585" s="44"/>
      <c r="C585" s="5"/>
      <c r="E585" s="19"/>
      <c r="F585" s="5"/>
      <c r="H585" s="19"/>
      <c r="Q585" s="5"/>
    </row>
    <row r="586">
      <c r="A586" s="44"/>
      <c r="C586" s="5"/>
      <c r="E586" s="19"/>
      <c r="F586" s="5"/>
      <c r="H586" s="19"/>
      <c r="Q586" s="5"/>
    </row>
    <row r="587">
      <c r="A587" s="44"/>
      <c r="C587" s="5"/>
      <c r="E587" s="19"/>
      <c r="F587" s="5"/>
      <c r="H587" s="19"/>
      <c r="Q587" s="5"/>
    </row>
    <row r="588">
      <c r="A588" s="44"/>
      <c r="C588" s="5"/>
      <c r="E588" s="19"/>
      <c r="F588" s="5"/>
      <c r="H588" s="19"/>
      <c r="Q588" s="5"/>
    </row>
    <row r="589">
      <c r="A589" s="44"/>
      <c r="C589" s="5"/>
      <c r="E589" s="19"/>
      <c r="F589" s="5"/>
      <c r="H589" s="19"/>
      <c r="Q589" s="5"/>
    </row>
    <row r="590">
      <c r="A590" s="44"/>
      <c r="C590" s="5"/>
      <c r="E590" s="19"/>
      <c r="F590" s="5"/>
      <c r="H590" s="19"/>
      <c r="Q590" s="5"/>
    </row>
    <row r="591">
      <c r="A591" s="44"/>
      <c r="C591" s="5"/>
      <c r="E591" s="19"/>
      <c r="F591" s="5"/>
      <c r="H591" s="19"/>
      <c r="Q591" s="5"/>
    </row>
    <row r="592">
      <c r="A592" s="44"/>
      <c r="C592" s="5"/>
      <c r="E592" s="19"/>
      <c r="F592" s="5"/>
      <c r="H592" s="19"/>
      <c r="Q592" s="5"/>
    </row>
    <row r="593">
      <c r="A593" s="44"/>
      <c r="C593" s="5"/>
      <c r="E593" s="19"/>
      <c r="F593" s="5"/>
      <c r="H593" s="19"/>
      <c r="Q593" s="5"/>
    </row>
    <row r="594">
      <c r="A594" s="44"/>
      <c r="C594" s="5"/>
      <c r="E594" s="19"/>
      <c r="F594" s="5"/>
      <c r="H594" s="19"/>
      <c r="Q594" s="5"/>
    </row>
    <row r="595">
      <c r="A595" s="44"/>
      <c r="C595" s="5"/>
      <c r="E595" s="19"/>
      <c r="F595" s="5"/>
      <c r="H595" s="19"/>
      <c r="Q595" s="5"/>
    </row>
    <row r="596">
      <c r="A596" s="44"/>
      <c r="C596" s="5"/>
      <c r="E596" s="19"/>
      <c r="F596" s="5"/>
      <c r="H596" s="19"/>
      <c r="Q596" s="5"/>
    </row>
    <row r="597">
      <c r="A597" s="44"/>
      <c r="C597" s="5"/>
      <c r="E597" s="19"/>
      <c r="F597" s="5"/>
      <c r="H597" s="19"/>
      <c r="Q597" s="5"/>
    </row>
    <row r="598">
      <c r="A598" s="44"/>
      <c r="C598" s="5"/>
      <c r="E598" s="19"/>
      <c r="F598" s="5"/>
      <c r="H598" s="19"/>
      <c r="Q598" s="5"/>
    </row>
    <row r="599">
      <c r="A599" s="44"/>
      <c r="C599" s="5"/>
      <c r="E599" s="19"/>
      <c r="F599" s="5"/>
      <c r="H599" s="19"/>
      <c r="Q599" s="5"/>
    </row>
    <row r="600">
      <c r="A600" s="44"/>
      <c r="C600" s="5"/>
      <c r="E600" s="19"/>
      <c r="F600" s="5"/>
      <c r="H600" s="19"/>
      <c r="Q600" s="5"/>
    </row>
    <row r="601">
      <c r="A601" s="44"/>
      <c r="C601" s="5"/>
      <c r="E601" s="19"/>
      <c r="F601" s="5"/>
      <c r="H601" s="19"/>
      <c r="Q601" s="5"/>
    </row>
    <row r="602">
      <c r="A602" s="44"/>
      <c r="C602" s="5"/>
      <c r="E602" s="19"/>
      <c r="F602" s="5"/>
      <c r="H602" s="19"/>
      <c r="Q602" s="5"/>
    </row>
    <row r="603">
      <c r="A603" s="44"/>
      <c r="C603" s="5"/>
      <c r="E603" s="19"/>
      <c r="F603" s="5"/>
      <c r="H603" s="19"/>
      <c r="Q603" s="5"/>
    </row>
    <row r="604">
      <c r="A604" s="44"/>
      <c r="C604" s="5"/>
      <c r="E604" s="19"/>
      <c r="F604" s="5"/>
      <c r="H604" s="19"/>
      <c r="Q604" s="5"/>
    </row>
    <row r="605">
      <c r="A605" s="44"/>
      <c r="C605" s="5"/>
      <c r="E605" s="19"/>
      <c r="F605" s="5"/>
      <c r="H605" s="19"/>
      <c r="Q605" s="5"/>
    </row>
    <row r="606">
      <c r="A606" s="44"/>
      <c r="C606" s="5"/>
      <c r="E606" s="19"/>
      <c r="F606" s="5"/>
      <c r="H606" s="19"/>
      <c r="Q606" s="5"/>
    </row>
    <row r="607">
      <c r="A607" s="44"/>
      <c r="C607" s="5"/>
      <c r="E607" s="19"/>
      <c r="F607" s="5"/>
      <c r="H607" s="19"/>
      <c r="Q607" s="5"/>
    </row>
    <row r="608">
      <c r="A608" s="44"/>
      <c r="C608" s="5"/>
      <c r="E608" s="19"/>
      <c r="F608" s="5"/>
      <c r="H608" s="19"/>
      <c r="Q608" s="5"/>
    </row>
    <row r="609">
      <c r="A609" s="44"/>
      <c r="C609" s="5"/>
      <c r="E609" s="19"/>
      <c r="F609" s="5"/>
      <c r="H609" s="19"/>
      <c r="Q609" s="5"/>
    </row>
    <row r="610">
      <c r="A610" s="44"/>
      <c r="C610" s="5"/>
      <c r="E610" s="19"/>
      <c r="F610" s="5"/>
      <c r="H610" s="19"/>
      <c r="Q610" s="5"/>
    </row>
    <row r="611">
      <c r="A611" s="44"/>
      <c r="C611" s="5"/>
      <c r="E611" s="19"/>
      <c r="F611" s="5"/>
      <c r="H611" s="19"/>
      <c r="Q611" s="5"/>
    </row>
    <row r="612">
      <c r="A612" s="44"/>
      <c r="C612" s="5"/>
      <c r="E612" s="19"/>
      <c r="F612" s="5"/>
      <c r="H612" s="19"/>
      <c r="Q612" s="5"/>
    </row>
    <row r="613">
      <c r="A613" s="44"/>
      <c r="C613" s="5"/>
      <c r="E613" s="19"/>
      <c r="F613" s="5"/>
      <c r="H613" s="19"/>
      <c r="Q613" s="5"/>
    </row>
    <row r="614">
      <c r="A614" s="44"/>
      <c r="C614" s="5"/>
      <c r="E614" s="19"/>
      <c r="F614" s="5"/>
      <c r="H614" s="19"/>
      <c r="Q614" s="5"/>
    </row>
    <row r="615">
      <c r="A615" s="44"/>
      <c r="C615" s="5"/>
      <c r="E615" s="19"/>
      <c r="F615" s="5"/>
      <c r="H615" s="19"/>
      <c r="Q615" s="5"/>
    </row>
    <row r="616">
      <c r="A616" s="44"/>
      <c r="C616" s="5"/>
      <c r="E616" s="19"/>
      <c r="F616" s="5"/>
      <c r="H616" s="19"/>
      <c r="Q616" s="5"/>
    </row>
    <row r="617">
      <c r="A617" s="44"/>
      <c r="C617" s="5"/>
      <c r="E617" s="19"/>
      <c r="F617" s="5"/>
      <c r="H617" s="19"/>
      <c r="Q617" s="5"/>
    </row>
    <row r="618">
      <c r="A618" s="44"/>
      <c r="C618" s="5"/>
      <c r="E618" s="19"/>
      <c r="F618" s="5"/>
      <c r="H618" s="19"/>
      <c r="Q618" s="5"/>
    </row>
    <row r="619">
      <c r="A619" s="44"/>
      <c r="C619" s="5"/>
      <c r="E619" s="19"/>
      <c r="F619" s="5"/>
      <c r="H619" s="19"/>
      <c r="Q619" s="5"/>
    </row>
    <row r="620">
      <c r="A620" s="44"/>
      <c r="C620" s="5"/>
      <c r="E620" s="19"/>
      <c r="F620" s="5"/>
      <c r="H620" s="19"/>
      <c r="Q620" s="5"/>
    </row>
    <row r="621">
      <c r="A621" s="44"/>
      <c r="C621" s="5"/>
      <c r="E621" s="19"/>
      <c r="F621" s="5"/>
      <c r="H621" s="19"/>
      <c r="Q621" s="5"/>
    </row>
    <row r="622">
      <c r="A622" s="44"/>
      <c r="C622" s="5"/>
      <c r="E622" s="19"/>
      <c r="F622" s="5"/>
      <c r="H622" s="19"/>
      <c r="Q622" s="5"/>
    </row>
    <row r="623">
      <c r="A623" s="44"/>
      <c r="C623" s="5"/>
      <c r="E623" s="19"/>
      <c r="F623" s="5"/>
      <c r="H623" s="19"/>
      <c r="Q623" s="5"/>
    </row>
    <row r="624">
      <c r="A624" s="44"/>
      <c r="C624" s="5"/>
      <c r="E624" s="19"/>
      <c r="F624" s="5"/>
      <c r="H624" s="19"/>
      <c r="Q624" s="5"/>
    </row>
    <row r="625">
      <c r="A625" s="44"/>
      <c r="C625" s="5"/>
      <c r="E625" s="19"/>
      <c r="F625" s="5"/>
      <c r="H625" s="19"/>
      <c r="Q625" s="5"/>
    </row>
    <row r="626">
      <c r="A626" s="44"/>
      <c r="C626" s="5"/>
      <c r="E626" s="19"/>
      <c r="F626" s="5"/>
      <c r="H626" s="19"/>
      <c r="Q626" s="5"/>
    </row>
    <row r="627">
      <c r="A627" s="44"/>
      <c r="C627" s="5"/>
      <c r="E627" s="19"/>
      <c r="F627" s="5"/>
      <c r="H627" s="19"/>
      <c r="Q627" s="5"/>
    </row>
    <row r="628">
      <c r="A628" s="44"/>
      <c r="C628" s="5"/>
      <c r="E628" s="19"/>
      <c r="F628" s="5"/>
      <c r="H628" s="19"/>
      <c r="Q628" s="5"/>
    </row>
    <row r="629">
      <c r="A629" s="44"/>
      <c r="C629" s="5"/>
      <c r="E629" s="19"/>
      <c r="F629" s="5"/>
      <c r="H629" s="19"/>
      <c r="Q629" s="5"/>
    </row>
    <row r="630">
      <c r="A630" s="44"/>
      <c r="C630" s="5"/>
      <c r="E630" s="19"/>
      <c r="F630" s="5"/>
      <c r="H630" s="19"/>
      <c r="Q630" s="5"/>
    </row>
    <row r="631">
      <c r="A631" s="44"/>
      <c r="C631" s="5"/>
      <c r="E631" s="19"/>
      <c r="F631" s="5"/>
      <c r="H631" s="19"/>
      <c r="Q631" s="5"/>
    </row>
    <row r="632">
      <c r="A632" s="44"/>
      <c r="C632" s="5"/>
      <c r="E632" s="19"/>
      <c r="F632" s="5"/>
      <c r="H632" s="19"/>
      <c r="Q632" s="5"/>
    </row>
    <row r="633">
      <c r="A633" s="44"/>
      <c r="C633" s="5"/>
      <c r="E633" s="19"/>
      <c r="F633" s="5"/>
      <c r="H633" s="19"/>
      <c r="Q633" s="5"/>
    </row>
    <row r="634">
      <c r="A634" s="44"/>
      <c r="C634" s="5"/>
      <c r="E634" s="19"/>
      <c r="F634" s="5"/>
      <c r="H634" s="19"/>
      <c r="Q634" s="5"/>
    </row>
    <row r="635">
      <c r="A635" s="44"/>
      <c r="C635" s="5"/>
      <c r="E635" s="19"/>
      <c r="F635" s="5"/>
      <c r="H635" s="19"/>
      <c r="Q635" s="5"/>
    </row>
    <row r="636">
      <c r="A636" s="44"/>
      <c r="C636" s="5"/>
      <c r="E636" s="19"/>
      <c r="F636" s="5"/>
      <c r="H636" s="19"/>
      <c r="Q636" s="5"/>
    </row>
    <row r="637">
      <c r="A637" s="44"/>
      <c r="C637" s="5"/>
      <c r="E637" s="19"/>
      <c r="F637" s="5"/>
      <c r="H637" s="19"/>
      <c r="Q637" s="5"/>
    </row>
    <row r="638">
      <c r="A638" s="44"/>
      <c r="C638" s="5"/>
      <c r="E638" s="19"/>
      <c r="F638" s="5"/>
      <c r="H638" s="19"/>
      <c r="Q638" s="5"/>
    </row>
    <row r="639">
      <c r="A639" s="44"/>
      <c r="C639" s="5"/>
      <c r="E639" s="19"/>
      <c r="F639" s="5"/>
      <c r="H639" s="19"/>
      <c r="Q639" s="5"/>
    </row>
    <row r="640">
      <c r="A640" s="44"/>
      <c r="C640" s="5"/>
      <c r="E640" s="19"/>
      <c r="F640" s="5"/>
      <c r="H640" s="19"/>
      <c r="Q640" s="5"/>
    </row>
    <row r="641">
      <c r="A641" s="44"/>
      <c r="C641" s="5"/>
      <c r="E641" s="19"/>
      <c r="F641" s="5"/>
      <c r="H641" s="19"/>
      <c r="Q641" s="5"/>
    </row>
    <row r="642">
      <c r="A642" s="44"/>
      <c r="C642" s="5"/>
      <c r="E642" s="19"/>
      <c r="F642" s="5"/>
      <c r="H642" s="19"/>
      <c r="Q642" s="5"/>
    </row>
    <row r="643">
      <c r="A643" s="44"/>
      <c r="C643" s="5"/>
      <c r="E643" s="19"/>
      <c r="F643" s="5"/>
      <c r="H643" s="19"/>
      <c r="Q643" s="5"/>
    </row>
    <row r="644">
      <c r="A644" s="44"/>
      <c r="C644" s="5"/>
      <c r="E644" s="19"/>
      <c r="F644" s="5"/>
      <c r="H644" s="19"/>
      <c r="Q644" s="5"/>
    </row>
    <row r="645">
      <c r="A645" s="44"/>
      <c r="C645" s="5"/>
      <c r="E645" s="19"/>
      <c r="F645" s="5"/>
      <c r="H645" s="19"/>
      <c r="Q645" s="5"/>
    </row>
    <row r="646">
      <c r="A646" s="44"/>
      <c r="C646" s="5"/>
      <c r="E646" s="19"/>
      <c r="F646" s="5"/>
      <c r="H646" s="19"/>
      <c r="Q646" s="5"/>
    </row>
    <row r="647">
      <c r="A647" s="44"/>
      <c r="C647" s="5"/>
      <c r="E647" s="19"/>
      <c r="F647" s="5"/>
      <c r="H647" s="19"/>
      <c r="Q647" s="5"/>
    </row>
    <row r="648">
      <c r="A648" s="44"/>
      <c r="C648" s="5"/>
      <c r="E648" s="19"/>
      <c r="F648" s="5"/>
      <c r="H648" s="19"/>
      <c r="Q648" s="5"/>
    </row>
    <row r="649">
      <c r="A649" s="44"/>
      <c r="C649" s="5"/>
      <c r="E649" s="19"/>
      <c r="F649" s="5"/>
      <c r="H649" s="19"/>
      <c r="Q649" s="5"/>
    </row>
    <row r="650">
      <c r="A650" s="44"/>
      <c r="C650" s="5"/>
      <c r="E650" s="19"/>
      <c r="F650" s="5"/>
      <c r="H650" s="19"/>
      <c r="Q650" s="5"/>
    </row>
    <row r="651">
      <c r="A651" s="44"/>
      <c r="C651" s="5"/>
      <c r="E651" s="19"/>
      <c r="F651" s="5"/>
      <c r="H651" s="19"/>
      <c r="Q651" s="5"/>
    </row>
    <row r="652">
      <c r="A652" s="44"/>
      <c r="C652" s="5"/>
      <c r="E652" s="19"/>
      <c r="F652" s="5"/>
      <c r="H652" s="19"/>
      <c r="Q652" s="5"/>
    </row>
    <row r="653">
      <c r="A653" s="44"/>
      <c r="C653" s="5"/>
      <c r="E653" s="19"/>
      <c r="F653" s="5"/>
      <c r="H653" s="19"/>
      <c r="Q653" s="5"/>
    </row>
    <row r="654">
      <c r="A654" s="44"/>
      <c r="C654" s="5"/>
      <c r="E654" s="19"/>
      <c r="F654" s="5"/>
      <c r="H654" s="19"/>
      <c r="Q654" s="5"/>
    </row>
    <row r="655">
      <c r="A655" s="44"/>
      <c r="C655" s="5"/>
      <c r="E655" s="19"/>
      <c r="F655" s="5"/>
      <c r="H655" s="19"/>
      <c r="Q655" s="5"/>
    </row>
    <row r="656">
      <c r="A656" s="44"/>
      <c r="C656" s="5"/>
      <c r="E656" s="19"/>
      <c r="F656" s="5"/>
      <c r="H656" s="19"/>
      <c r="Q656" s="5"/>
    </row>
    <row r="657">
      <c r="A657" s="44"/>
      <c r="C657" s="5"/>
      <c r="E657" s="19"/>
      <c r="F657" s="5"/>
      <c r="H657" s="19"/>
      <c r="Q657" s="5"/>
    </row>
    <row r="658">
      <c r="A658" s="44"/>
      <c r="C658" s="5"/>
      <c r="E658" s="19"/>
      <c r="F658" s="5"/>
      <c r="H658" s="19"/>
      <c r="Q658" s="5"/>
    </row>
    <row r="659">
      <c r="A659" s="44"/>
      <c r="C659" s="5"/>
      <c r="E659" s="19"/>
      <c r="F659" s="5"/>
      <c r="H659" s="19"/>
      <c r="Q659" s="5"/>
    </row>
    <row r="660">
      <c r="A660" s="44"/>
      <c r="C660" s="5"/>
      <c r="E660" s="19"/>
      <c r="F660" s="5"/>
      <c r="H660" s="19"/>
      <c r="Q660" s="5"/>
    </row>
    <row r="661">
      <c r="A661" s="44"/>
      <c r="C661" s="5"/>
      <c r="E661" s="19"/>
      <c r="F661" s="5"/>
      <c r="H661" s="19"/>
      <c r="Q661" s="5"/>
    </row>
    <row r="662">
      <c r="A662" s="44"/>
      <c r="C662" s="5"/>
      <c r="E662" s="19"/>
      <c r="F662" s="5"/>
      <c r="H662" s="19"/>
      <c r="Q662" s="5"/>
    </row>
    <row r="663">
      <c r="A663" s="44"/>
      <c r="C663" s="5"/>
      <c r="E663" s="19"/>
      <c r="F663" s="5"/>
      <c r="H663" s="19"/>
      <c r="Q663" s="5"/>
    </row>
    <row r="664">
      <c r="A664" s="44"/>
      <c r="C664" s="5"/>
      <c r="E664" s="19"/>
      <c r="F664" s="5"/>
      <c r="H664" s="19"/>
      <c r="Q664" s="5"/>
    </row>
    <row r="665">
      <c r="A665" s="44"/>
      <c r="C665" s="5"/>
      <c r="E665" s="19"/>
      <c r="F665" s="5"/>
      <c r="H665" s="19"/>
      <c r="Q665" s="5"/>
    </row>
    <row r="666">
      <c r="A666" s="44"/>
      <c r="C666" s="5"/>
      <c r="E666" s="19"/>
      <c r="F666" s="5"/>
      <c r="H666" s="19"/>
      <c r="Q666" s="5"/>
    </row>
    <row r="667">
      <c r="A667" s="44"/>
      <c r="C667" s="5"/>
      <c r="E667" s="19"/>
      <c r="F667" s="5"/>
      <c r="H667" s="19"/>
      <c r="Q667" s="5"/>
    </row>
    <row r="668">
      <c r="A668" s="44"/>
      <c r="C668" s="5"/>
      <c r="E668" s="19"/>
      <c r="F668" s="5"/>
      <c r="H668" s="19"/>
      <c r="Q668" s="5"/>
    </row>
    <row r="669">
      <c r="A669" s="44"/>
      <c r="C669" s="5"/>
      <c r="E669" s="19"/>
      <c r="F669" s="5"/>
      <c r="H669" s="19"/>
      <c r="Q669" s="5"/>
    </row>
    <row r="670">
      <c r="A670" s="44"/>
      <c r="C670" s="5"/>
      <c r="E670" s="19"/>
      <c r="F670" s="5"/>
      <c r="H670" s="19"/>
      <c r="Q670" s="5"/>
    </row>
    <row r="671">
      <c r="A671" s="44"/>
      <c r="C671" s="5"/>
      <c r="E671" s="19"/>
      <c r="F671" s="5"/>
      <c r="H671" s="19"/>
      <c r="Q671" s="5"/>
    </row>
    <row r="672">
      <c r="A672" s="44"/>
      <c r="C672" s="5"/>
      <c r="E672" s="19"/>
      <c r="F672" s="5"/>
      <c r="H672" s="19"/>
      <c r="Q672" s="5"/>
    </row>
    <row r="673">
      <c r="A673" s="44"/>
      <c r="C673" s="5"/>
      <c r="E673" s="19"/>
      <c r="F673" s="5"/>
      <c r="H673" s="19"/>
      <c r="Q673" s="5"/>
    </row>
    <row r="674">
      <c r="A674" s="44"/>
      <c r="C674" s="5"/>
      <c r="E674" s="19"/>
      <c r="F674" s="5"/>
      <c r="H674" s="19"/>
      <c r="Q674" s="5"/>
    </row>
    <row r="675">
      <c r="A675" s="44"/>
      <c r="C675" s="5"/>
      <c r="E675" s="19"/>
      <c r="F675" s="5"/>
      <c r="H675" s="19"/>
      <c r="Q675" s="5"/>
    </row>
    <row r="676">
      <c r="A676" s="44"/>
      <c r="C676" s="5"/>
      <c r="E676" s="19"/>
      <c r="F676" s="5"/>
      <c r="H676" s="19"/>
      <c r="Q676" s="5"/>
    </row>
    <row r="677">
      <c r="A677" s="44"/>
      <c r="C677" s="5"/>
      <c r="E677" s="19"/>
      <c r="F677" s="5"/>
      <c r="H677" s="19"/>
      <c r="Q677" s="5"/>
    </row>
    <row r="678">
      <c r="A678" s="44"/>
      <c r="C678" s="5"/>
      <c r="E678" s="19"/>
      <c r="F678" s="5"/>
      <c r="H678" s="19"/>
      <c r="Q678" s="5"/>
    </row>
    <row r="679">
      <c r="A679" s="44"/>
      <c r="C679" s="5"/>
      <c r="E679" s="19"/>
      <c r="F679" s="5"/>
      <c r="H679" s="19"/>
      <c r="Q679" s="5"/>
    </row>
    <row r="680">
      <c r="A680" s="44"/>
      <c r="C680" s="5"/>
      <c r="E680" s="19"/>
      <c r="F680" s="5"/>
      <c r="H680" s="19"/>
      <c r="Q680" s="5"/>
    </row>
    <row r="681">
      <c r="A681" s="44"/>
      <c r="C681" s="5"/>
      <c r="E681" s="19"/>
      <c r="F681" s="5"/>
      <c r="H681" s="19"/>
      <c r="Q681" s="5"/>
    </row>
    <row r="682">
      <c r="A682" s="44"/>
      <c r="C682" s="5"/>
      <c r="E682" s="19"/>
      <c r="F682" s="5"/>
      <c r="H682" s="19"/>
      <c r="Q682" s="5"/>
    </row>
    <row r="683">
      <c r="A683" s="44"/>
      <c r="C683" s="5"/>
      <c r="E683" s="19"/>
      <c r="F683" s="5"/>
      <c r="H683" s="19"/>
      <c r="Q683" s="5"/>
    </row>
    <row r="684">
      <c r="A684" s="44"/>
      <c r="C684" s="5"/>
      <c r="E684" s="19"/>
      <c r="F684" s="5"/>
      <c r="H684" s="19"/>
      <c r="Q684" s="5"/>
    </row>
    <row r="685">
      <c r="A685" s="44"/>
      <c r="C685" s="5"/>
      <c r="E685" s="19"/>
      <c r="F685" s="5"/>
      <c r="H685" s="19"/>
      <c r="Q685" s="5"/>
    </row>
    <row r="686">
      <c r="A686" s="44"/>
      <c r="C686" s="5"/>
      <c r="E686" s="19"/>
      <c r="F686" s="5"/>
      <c r="H686" s="19"/>
      <c r="Q686" s="5"/>
    </row>
    <row r="687">
      <c r="A687" s="44"/>
      <c r="C687" s="5"/>
      <c r="E687" s="19"/>
      <c r="F687" s="5"/>
      <c r="H687" s="19"/>
      <c r="Q687" s="5"/>
    </row>
    <row r="688">
      <c r="A688" s="44"/>
      <c r="C688" s="5"/>
      <c r="E688" s="19"/>
      <c r="F688" s="5"/>
      <c r="H688" s="19"/>
      <c r="Q688" s="5"/>
    </row>
    <row r="689">
      <c r="A689" s="44"/>
      <c r="C689" s="5"/>
      <c r="E689" s="19"/>
      <c r="F689" s="5"/>
      <c r="H689" s="19"/>
      <c r="Q689" s="5"/>
    </row>
    <row r="690">
      <c r="A690" s="44"/>
      <c r="C690" s="5"/>
      <c r="E690" s="19"/>
      <c r="F690" s="5"/>
      <c r="H690" s="19"/>
      <c r="Q690" s="5"/>
    </row>
    <row r="691">
      <c r="A691" s="44"/>
      <c r="C691" s="5"/>
      <c r="E691" s="19"/>
      <c r="F691" s="5"/>
      <c r="H691" s="19"/>
      <c r="Q691" s="5"/>
    </row>
    <row r="692">
      <c r="A692" s="44"/>
      <c r="C692" s="5"/>
      <c r="E692" s="19"/>
      <c r="F692" s="5"/>
      <c r="H692" s="19"/>
      <c r="Q692" s="5"/>
    </row>
    <row r="693">
      <c r="A693" s="44"/>
      <c r="C693" s="5"/>
      <c r="E693" s="19"/>
      <c r="F693" s="5"/>
      <c r="H693" s="19"/>
      <c r="Q693" s="5"/>
    </row>
    <row r="694">
      <c r="A694" s="44"/>
      <c r="C694" s="5"/>
      <c r="E694" s="19"/>
      <c r="F694" s="5"/>
      <c r="H694" s="19"/>
      <c r="Q694" s="5"/>
    </row>
    <row r="695">
      <c r="A695" s="44"/>
      <c r="C695" s="5"/>
      <c r="E695" s="19"/>
      <c r="F695" s="5"/>
      <c r="H695" s="19"/>
      <c r="Q695" s="5"/>
    </row>
    <row r="696">
      <c r="A696" s="44"/>
      <c r="C696" s="5"/>
      <c r="E696" s="19"/>
      <c r="F696" s="5"/>
      <c r="H696" s="19"/>
      <c r="Q696" s="5"/>
    </row>
    <row r="697">
      <c r="A697" s="44"/>
      <c r="C697" s="5"/>
      <c r="E697" s="19"/>
      <c r="F697" s="5"/>
      <c r="H697" s="19"/>
      <c r="Q697" s="5"/>
    </row>
    <row r="698">
      <c r="A698" s="44"/>
      <c r="C698" s="5"/>
      <c r="E698" s="19"/>
      <c r="F698" s="5"/>
      <c r="H698" s="19"/>
      <c r="Q698" s="5"/>
    </row>
    <row r="699">
      <c r="A699" s="44"/>
      <c r="C699" s="5"/>
      <c r="E699" s="19"/>
      <c r="F699" s="5"/>
      <c r="H699" s="19"/>
      <c r="Q699" s="5"/>
    </row>
    <row r="700">
      <c r="A700" s="44"/>
      <c r="C700" s="5"/>
      <c r="E700" s="19"/>
      <c r="F700" s="5"/>
      <c r="H700" s="19"/>
      <c r="Q700" s="5"/>
    </row>
    <row r="701">
      <c r="A701" s="44"/>
      <c r="C701" s="5"/>
      <c r="E701" s="19"/>
      <c r="F701" s="5"/>
      <c r="H701" s="19"/>
      <c r="Q701" s="5"/>
    </row>
    <row r="702">
      <c r="A702" s="44"/>
      <c r="C702" s="5"/>
      <c r="E702" s="19"/>
      <c r="F702" s="5"/>
      <c r="H702" s="19"/>
      <c r="Q702" s="5"/>
    </row>
    <row r="703">
      <c r="A703" s="44"/>
      <c r="C703" s="5"/>
      <c r="E703" s="19"/>
      <c r="F703" s="5"/>
      <c r="H703" s="19"/>
      <c r="Q703" s="5"/>
    </row>
    <row r="704">
      <c r="A704" s="44"/>
      <c r="C704" s="5"/>
      <c r="E704" s="19"/>
      <c r="F704" s="5"/>
      <c r="H704" s="19"/>
      <c r="Q704" s="5"/>
    </row>
    <row r="705">
      <c r="A705" s="44"/>
      <c r="C705" s="5"/>
      <c r="E705" s="19"/>
      <c r="F705" s="5"/>
      <c r="H705" s="19"/>
      <c r="Q705" s="5"/>
    </row>
    <row r="706">
      <c r="A706" s="44"/>
      <c r="C706" s="5"/>
      <c r="E706" s="19"/>
      <c r="F706" s="5"/>
      <c r="H706" s="19"/>
      <c r="Q706" s="5"/>
    </row>
    <row r="707">
      <c r="A707" s="44"/>
      <c r="C707" s="5"/>
      <c r="E707" s="19"/>
      <c r="F707" s="5"/>
      <c r="H707" s="19"/>
      <c r="Q707" s="5"/>
    </row>
    <row r="708">
      <c r="A708" s="44"/>
      <c r="C708" s="5"/>
      <c r="E708" s="19"/>
      <c r="F708" s="5"/>
      <c r="H708" s="19"/>
      <c r="Q708" s="5"/>
    </row>
    <row r="709">
      <c r="A709" s="44"/>
      <c r="C709" s="5"/>
      <c r="E709" s="19"/>
      <c r="F709" s="5"/>
      <c r="H709" s="19"/>
      <c r="Q709" s="5"/>
    </row>
    <row r="710">
      <c r="A710" s="44"/>
      <c r="C710" s="5"/>
      <c r="E710" s="19"/>
      <c r="F710" s="5"/>
      <c r="H710" s="19"/>
      <c r="Q710" s="5"/>
    </row>
    <row r="711">
      <c r="A711" s="44"/>
      <c r="C711" s="5"/>
      <c r="E711" s="19"/>
      <c r="F711" s="5"/>
      <c r="H711" s="19"/>
      <c r="Q711" s="5"/>
    </row>
    <row r="712">
      <c r="A712" s="44"/>
      <c r="C712" s="5"/>
      <c r="E712" s="19"/>
      <c r="F712" s="5"/>
      <c r="H712" s="19"/>
      <c r="Q712" s="5"/>
    </row>
    <row r="713">
      <c r="A713" s="44"/>
      <c r="C713" s="5"/>
      <c r="E713" s="19"/>
      <c r="F713" s="5"/>
      <c r="H713" s="19"/>
      <c r="Q713" s="5"/>
    </row>
    <row r="714">
      <c r="A714" s="44"/>
      <c r="C714" s="5"/>
      <c r="E714" s="19"/>
      <c r="F714" s="5"/>
      <c r="H714" s="19"/>
      <c r="Q714" s="5"/>
    </row>
    <row r="715">
      <c r="A715" s="44"/>
      <c r="C715" s="5"/>
      <c r="E715" s="19"/>
      <c r="F715" s="5"/>
      <c r="H715" s="19"/>
      <c r="Q715" s="5"/>
    </row>
    <row r="716">
      <c r="A716" s="44"/>
      <c r="C716" s="5"/>
      <c r="E716" s="19"/>
      <c r="F716" s="5"/>
      <c r="H716" s="19"/>
      <c r="Q716" s="5"/>
    </row>
    <row r="717">
      <c r="A717" s="44"/>
      <c r="C717" s="5"/>
      <c r="E717" s="19"/>
      <c r="F717" s="5"/>
      <c r="H717" s="19"/>
      <c r="Q717" s="5"/>
    </row>
    <row r="718">
      <c r="A718" s="44"/>
      <c r="C718" s="5"/>
      <c r="E718" s="19"/>
      <c r="F718" s="5"/>
      <c r="H718" s="19"/>
      <c r="Q718" s="5"/>
    </row>
    <row r="719">
      <c r="A719" s="44"/>
      <c r="C719" s="5"/>
      <c r="E719" s="19"/>
      <c r="F719" s="5"/>
      <c r="H719" s="19"/>
      <c r="Q719" s="5"/>
    </row>
    <row r="720">
      <c r="A720" s="44"/>
      <c r="C720" s="5"/>
      <c r="E720" s="19"/>
      <c r="F720" s="5"/>
      <c r="H720" s="19"/>
      <c r="Q720" s="5"/>
    </row>
    <row r="721">
      <c r="A721" s="44"/>
      <c r="C721" s="5"/>
      <c r="E721" s="19"/>
      <c r="F721" s="5"/>
      <c r="H721" s="19"/>
      <c r="Q721" s="5"/>
    </row>
    <row r="722">
      <c r="A722" s="44"/>
      <c r="C722" s="5"/>
      <c r="E722" s="19"/>
      <c r="F722" s="5"/>
      <c r="H722" s="19"/>
      <c r="Q722" s="5"/>
    </row>
    <row r="723">
      <c r="A723" s="44"/>
      <c r="C723" s="5"/>
      <c r="E723" s="19"/>
      <c r="F723" s="5"/>
      <c r="H723" s="19"/>
      <c r="Q723" s="5"/>
    </row>
    <row r="724">
      <c r="A724" s="44"/>
      <c r="C724" s="5"/>
      <c r="E724" s="19"/>
      <c r="F724" s="5"/>
      <c r="H724" s="19"/>
      <c r="Q724" s="5"/>
    </row>
    <row r="725">
      <c r="A725" s="44"/>
      <c r="C725" s="5"/>
      <c r="E725" s="19"/>
      <c r="F725" s="5"/>
      <c r="H725" s="19"/>
      <c r="Q725" s="5"/>
    </row>
    <row r="726">
      <c r="A726" s="44"/>
      <c r="C726" s="5"/>
      <c r="E726" s="19"/>
      <c r="F726" s="5"/>
      <c r="H726" s="19"/>
      <c r="Q726" s="5"/>
    </row>
    <row r="727">
      <c r="A727" s="44"/>
      <c r="C727" s="5"/>
      <c r="E727" s="19"/>
      <c r="F727" s="5"/>
      <c r="H727" s="19"/>
      <c r="Q727" s="5"/>
    </row>
    <row r="728">
      <c r="A728" s="44"/>
      <c r="C728" s="5"/>
      <c r="E728" s="19"/>
      <c r="F728" s="5"/>
      <c r="H728" s="19"/>
      <c r="Q728" s="5"/>
    </row>
    <row r="729">
      <c r="A729" s="44"/>
      <c r="C729" s="5"/>
      <c r="E729" s="19"/>
      <c r="F729" s="5"/>
      <c r="H729" s="19"/>
      <c r="Q729" s="5"/>
    </row>
    <row r="730">
      <c r="A730" s="44"/>
      <c r="C730" s="5"/>
      <c r="E730" s="19"/>
      <c r="F730" s="5"/>
      <c r="H730" s="19"/>
      <c r="Q730" s="5"/>
    </row>
    <row r="731">
      <c r="A731" s="44"/>
      <c r="C731" s="5"/>
      <c r="E731" s="19"/>
      <c r="F731" s="5"/>
      <c r="H731" s="19"/>
      <c r="Q731" s="5"/>
    </row>
    <row r="732">
      <c r="A732" s="44"/>
      <c r="C732" s="5"/>
      <c r="E732" s="19"/>
      <c r="F732" s="5"/>
      <c r="H732" s="19"/>
      <c r="Q732" s="5"/>
    </row>
    <row r="733">
      <c r="A733" s="44"/>
      <c r="C733" s="5"/>
      <c r="E733" s="19"/>
      <c r="F733" s="5"/>
      <c r="H733" s="19"/>
      <c r="Q733" s="5"/>
    </row>
    <row r="734">
      <c r="A734" s="44"/>
      <c r="C734" s="5"/>
      <c r="E734" s="19"/>
      <c r="F734" s="5"/>
      <c r="H734" s="19"/>
      <c r="Q734" s="5"/>
    </row>
    <row r="735">
      <c r="A735" s="44"/>
      <c r="C735" s="5"/>
      <c r="E735" s="19"/>
      <c r="F735" s="5"/>
      <c r="H735" s="19"/>
      <c r="Q735" s="5"/>
    </row>
    <row r="736">
      <c r="A736" s="44"/>
      <c r="C736" s="5"/>
      <c r="E736" s="19"/>
      <c r="F736" s="5"/>
      <c r="H736" s="19"/>
      <c r="Q736" s="5"/>
    </row>
    <row r="737">
      <c r="A737" s="44"/>
      <c r="C737" s="5"/>
      <c r="E737" s="19"/>
      <c r="F737" s="5"/>
      <c r="H737" s="19"/>
      <c r="Q737" s="5"/>
    </row>
    <row r="738">
      <c r="A738" s="44"/>
      <c r="C738" s="5"/>
      <c r="E738" s="19"/>
      <c r="F738" s="5"/>
      <c r="H738" s="19"/>
      <c r="Q738" s="5"/>
    </row>
    <row r="739">
      <c r="A739" s="44"/>
      <c r="C739" s="5"/>
      <c r="E739" s="19"/>
      <c r="F739" s="5"/>
      <c r="H739" s="19"/>
      <c r="Q739" s="5"/>
    </row>
    <row r="740">
      <c r="A740" s="44"/>
      <c r="C740" s="5"/>
      <c r="E740" s="19"/>
      <c r="F740" s="5"/>
      <c r="H740" s="19"/>
      <c r="Q740" s="5"/>
    </row>
    <row r="741">
      <c r="A741" s="44"/>
      <c r="C741" s="5"/>
      <c r="E741" s="19"/>
      <c r="F741" s="5"/>
      <c r="H741" s="19"/>
      <c r="Q741" s="5"/>
    </row>
    <row r="742">
      <c r="A742" s="44"/>
      <c r="C742" s="5"/>
      <c r="E742" s="19"/>
      <c r="F742" s="5"/>
      <c r="H742" s="19"/>
      <c r="Q742" s="5"/>
    </row>
    <row r="743">
      <c r="A743" s="44"/>
      <c r="C743" s="5"/>
      <c r="E743" s="19"/>
      <c r="F743" s="5"/>
      <c r="H743" s="19"/>
      <c r="Q743" s="5"/>
    </row>
    <row r="744">
      <c r="A744" s="44"/>
      <c r="C744" s="5"/>
      <c r="E744" s="19"/>
      <c r="F744" s="5"/>
      <c r="H744" s="19"/>
      <c r="Q744" s="5"/>
    </row>
    <row r="745">
      <c r="A745" s="44"/>
      <c r="C745" s="5"/>
      <c r="E745" s="19"/>
      <c r="F745" s="5"/>
      <c r="H745" s="19"/>
      <c r="Q745" s="5"/>
    </row>
    <row r="746">
      <c r="A746" s="44"/>
      <c r="C746" s="5"/>
      <c r="E746" s="19"/>
      <c r="F746" s="5"/>
      <c r="H746" s="19"/>
      <c r="Q746" s="5"/>
    </row>
    <row r="747">
      <c r="A747" s="44"/>
      <c r="C747" s="5"/>
      <c r="E747" s="19"/>
      <c r="F747" s="5"/>
      <c r="H747" s="19"/>
      <c r="Q747" s="5"/>
    </row>
    <row r="748">
      <c r="A748" s="44"/>
      <c r="C748" s="5"/>
      <c r="E748" s="19"/>
      <c r="F748" s="5"/>
      <c r="H748" s="19"/>
      <c r="Q748" s="5"/>
    </row>
    <row r="749">
      <c r="A749" s="44"/>
      <c r="C749" s="5"/>
      <c r="E749" s="19"/>
      <c r="F749" s="5"/>
      <c r="H749" s="19"/>
      <c r="Q749" s="5"/>
    </row>
    <row r="750">
      <c r="A750" s="44"/>
      <c r="C750" s="5"/>
      <c r="E750" s="19"/>
      <c r="F750" s="5"/>
      <c r="H750" s="19"/>
      <c r="Q750" s="5"/>
    </row>
    <row r="751">
      <c r="A751" s="44"/>
      <c r="C751" s="5"/>
      <c r="E751" s="19"/>
      <c r="F751" s="5"/>
      <c r="H751" s="19"/>
      <c r="Q751" s="5"/>
    </row>
    <row r="752">
      <c r="A752" s="44"/>
      <c r="C752" s="5"/>
      <c r="E752" s="19"/>
      <c r="F752" s="5"/>
      <c r="H752" s="19"/>
      <c r="Q752" s="5"/>
    </row>
    <row r="753">
      <c r="A753" s="44"/>
      <c r="C753" s="5"/>
      <c r="E753" s="19"/>
      <c r="F753" s="5"/>
      <c r="H753" s="19"/>
      <c r="Q753" s="5"/>
    </row>
    <row r="754">
      <c r="A754" s="44"/>
      <c r="C754" s="5"/>
      <c r="E754" s="19"/>
      <c r="F754" s="5"/>
      <c r="H754" s="19"/>
      <c r="Q754" s="5"/>
    </row>
    <row r="755">
      <c r="A755" s="44"/>
      <c r="C755" s="5"/>
      <c r="E755" s="19"/>
      <c r="F755" s="5"/>
      <c r="H755" s="19"/>
      <c r="Q755" s="5"/>
    </row>
    <row r="756">
      <c r="A756" s="44"/>
      <c r="C756" s="5"/>
      <c r="E756" s="19"/>
      <c r="F756" s="5"/>
      <c r="H756" s="19"/>
      <c r="Q756" s="5"/>
    </row>
    <row r="757">
      <c r="A757" s="44"/>
      <c r="C757" s="5"/>
      <c r="E757" s="19"/>
      <c r="F757" s="5"/>
      <c r="H757" s="19"/>
      <c r="Q757" s="5"/>
    </row>
    <row r="758">
      <c r="A758" s="44"/>
      <c r="C758" s="5"/>
      <c r="E758" s="19"/>
      <c r="F758" s="5"/>
      <c r="H758" s="19"/>
      <c r="Q758" s="5"/>
    </row>
    <row r="759">
      <c r="A759" s="44"/>
      <c r="C759" s="5"/>
      <c r="E759" s="19"/>
      <c r="F759" s="5"/>
      <c r="H759" s="19"/>
      <c r="Q759" s="5"/>
    </row>
    <row r="760">
      <c r="A760" s="44"/>
      <c r="C760" s="5"/>
      <c r="E760" s="19"/>
      <c r="F760" s="5"/>
      <c r="H760" s="19"/>
      <c r="Q760" s="5"/>
    </row>
    <row r="761">
      <c r="A761" s="44"/>
      <c r="C761" s="5"/>
      <c r="E761" s="19"/>
      <c r="F761" s="5"/>
      <c r="H761" s="19"/>
      <c r="Q761" s="5"/>
    </row>
    <row r="762">
      <c r="A762" s="44"/>
      <c r="C762" s="5"/>
      <c r="E762" s="19"/>
      <c r="F762" s="5"/>
      <c r="H762" s="19"/>
      <c r="Q762" s="5"/>
    </row>
    <row r="763">
      <c r="A763" s="44"/>
      <c r="C763" s="5"/>
      <c r="E763" s="19"/>
      <c r="F763" s="5"/>
      <c r="H763" s="19"/>
      <c r="Q763" s="5"/>
    </row>
    <row r="764">
      <c r="A764" s="44"/>
      <c r="C764" s="5"/>
      <c r="E764" s="19"/>
      <c r="F764" s="5"/>
      <c r="H764" s="19"/>
      <c r="Q764" s="5"/>
    </row>
    <row r="765">
      <c r="A765" s="44"/>
      <c r="C765" s="5"/>
      <c r="E765" s="19"/>
      <c r="F765" s="5"/>
      <c r="H765" s="19"/>
      <c r="Q765" s="5"/>
    </row>
    <row r="766">
      <c r="A766" s="44"/>
      <c r="C766" s="5"/>
      <c r="E766" s="19"/>
      <c r="F766" s="5"/>
      <c r="H766" s="19"/>
      <c r="Q766" s="5"/>
    </row>
    <row r="767">
      <c r="A767" s="44"/>
      <c r="C767" s="5"/>
      <c r="E767" s="19"/>
      <c r="F767" s="5"/>
      <c r="H767" s="19"/>
      <c r="Q767" s="5"/>
    </row>
    <row r="768">
      <c r="A768" s="44"/>
      <c r="C768" s="5"/>
      <c r="E768" s="19"/>
      <c r="F768" s="5"/>
      <c r="H768" s="19"/>
      <c r="Q768" s="5"/>
    </row>
    <row r="769">
      <c r="A769" s="44"/>
      <c r="C769" s="5"/>
      <c r="E769" s="19"/>
      <c r="F769" s="5"/>
      <c r="H769" s="19"/>
      <c r="Q769" s="5"/>
    </row>
    <row r="770">
      <c r="A770" s="44"/>
      <c r="C770" s="5"/>
      <c r="E770" s="19"/>
      <c r="F770" s="5"/>
      <c r="H770" s="19"/>
      <c r="Q770" s="5"/>
    </row>
    <row r="771">
      <c r="A771" s="44"/>
      <c r="C771" s="5"/>
      <c r="E771" s="19"/>
      <c r="F771" s="5"/>
      <c r="H771" s="19"/>
      <c r="Q771" s="5"/>
    </row>
    <row r="772">
      <c r="A772" s="44"/>
      <c r="C772" s="5"/>
      <c r="E772" s="19"/>
      <c r="F772" s="5"/>
      <c r="H772" s="19"/>
      <c r="Q772" s="5"/>
    </row>
    <row r="773">
      <c r="A773" s="44"/>
      <c r="C773" s="5"/>
      <c r="E773" s="19"/>
      <c r="F773" s="5"/>
      <c r="H773" s="19"/>
      <c r="Q773" s="5"/>
    </row>
    <row r="774">
      <c r="A774" s="44"/>
      <c r="C774" s="5"/>
      <c r="E774" s="19"/>
      <c r="F774" s="5"/>
      <c r="H774" s="19"/>
      <c r="Q774" s="5"/>
    </row>
    <row r="775">
      <c r="A775" s="44"/>
      <c r="C775" s="5"/>
      <c r="E775" s="19"/>
      <c r="F775" s="5"/>
      <c r="H775" s="19"/>
      <c r="Q775" s="5"/>
    </row>
    <row r="776">
      <c r="A776" s="44"/>
      <c r="C776" s="5"/>
      <c r="E776" s="19"/>
      <c r="F776" s="5"/>
      <c r="H776" s="19"/>
      <c r="Q776" s="5"/>
    </row>
    <row r="777">
      <c r="A777" s="44"/>
      <c r="C777" s="5"/>
      <c r="E777" s="19"/>
      <c r="F777" s="5"/>
      <c r="H777" s="19"/>
      <c r="Q777" s="5"/>
    </row>
    <row r="778">
      <c r="A778" s="44"/>
      <c r="C778" s="5"/>
      <c r="E778" s="19"/>
      <c r="F778" s="5"/>
      <c r="H778" s="19"/>
      <c r="Q778" s="5"/>
    </row>
    <row r="779">
      <c r="A779" s="44"/>
      <c r="C779" s="5"/>
      <c r="E779" s="19"/>
      <c r="F779" s="5"/>
      <c r="H779" s="19"/>
      <c r="Q779" s="5"/>
    </row>
    <row r="780">
      <c r="A780" s="44"/>
      <c r="C780" s="5"/>
      <c r="E780" s="19"/>
      <c r="F780" s="5"/>
      <c r="H780" s="19"/>
      <c r="Q780" s="5"/>
    </row>
    <row r="781">
      <c r="A781" s="44"/>
      <c r="C781" s="5"/>
      <c r="E781" s="19"/>
      <c r="F781" s="5"/>
      <c r="H781" s="19"/>
      <c r="Q781" s="5"/>
    </row>
    <row r="782">
      <c r="A782" s="44"/>
      <c r="C782" s="5"/>
      <c r="E782" s="19"/>
      <c r="F782" s="5"/>
      <c r="H782" s="19"/>
      <c r="Q782" s="5"/>
    </row>
    <row r="783">
      <c r="A783" s="44"/>
      <c r="C783" s="5"/>
      <c r="E783" s="19"/>
      <c r="F783" s="5"/>
      <c r="H783" s="19"/>
      <c r="Q783" s="5"/>
    </row>
    <row r="784">
      <c r="A784" s="44"/>
      <c r="C784" s="5"/>
      <c r="E784" s="19"/>
      <c r="F784" s="5"/>
      <c r="H784" s="19"/>
      <c r="Q784" s="5"/>
    </row>
    <row r="785">
      <c r="A785" s="44"/>
      <c r="C785" s="5"/>
      <c r="E785" s="19"/>
      <c r="F785" s="5"/>
      <c r="H785" s="19"/>
      <c r="Q785" s="5"/>
    </row>
    <row r="786">
      <c r="A786" s="44"/>
      <c r="C786" s="5"/>
      <c r="E786" s="19"/>
      <c r="F786" s="5"/>
      <c r="H786" s="19"/>
      <c r="Q786" s="5"/>
    </row>
    <row r="787">
      <c r="A787" s="44"/>
      <c r="C787" s="5"/>
      <c r="E787" s="19"/>
      <c r="F787" s="5"/>
      <c r="H787" s="19"/>
      <c r="Q787" s="5"/>
    </row>
    <row r="788">
      <c r="A788" s="44"/>
      <c r="C788" s="5"/>
      <c r="E788" s="19"/>
      <c r="F788" s="5"/>
      <c r="H788" s="19"/>
      <c r="Q788" s="5"/>
    </row>
    <row r="789">
      <c r="A789" s="44"/>
      <c r="C789" s="5"/>
      <c r="E789" s="19"/>
      <c r="F789" s="5"/>
      <c r="H789" s="19"/>
      <c r="Q789" s="5"/>
    </row>
    <row r="790">
      <c r="A790" s="44"/>
      <c r="C790" s="5"/>
      <c r="E790" s="19"/>
      <c r="F790" s="5"/>
      <c r="H790" s="19"/>
      <c r="Q790" s="5"/>
    </row>
    <row r="791">
      <c r="A791" s="44"/>
      <c r="C791" s="5"/>
      <c r="E791" s="19"/>
      <c r="F791" s="5"/>
      <c r="H791" s="19"/>
      <c r="Q791" s="5"/>
    </row>
    <row r="792">
      <c r="A792" s="44"/>
      <c r="C792" s="5"/>
      <c r="E792" s="19"/>
      <c r="F792" s="5"/>
      <c r="H792" s="19"/>
      <c r="Q792" s="5"/>
    </row>
    <row r="793">
      <c r="A793" s="44"/>
      <c r="C793" s="5"/>
      <c r="E793" s="19"/>
      <c r="F793" s="5"/>
      <c r="H793" s="19"/>
      <c r="Q793" s="5"/>
    </row>
    <row r="794">
      <c r="A794" s="44"/>
      <c r="C794" s="5"/>
      <c r="E794" s="19"/>
      <c r="F794" s="5"/>
      <c r="H794" s="19"/>
      <c r="Q794" s="5"/>
    </row>
    <row r="795">
      <c r="A795" s="44"/>
      <c r="C795" s="5"/>
      <c r="E795" s="19"/>
      <c r="F795" s="5"/>
      <c r="H795" s="19"/>
      <c r="Q795" s="5"/>
    </row>
    <row r="796">
      <c r="A796" s="44"/>
      <c r="C796" s="5"/>
      <c r="E796" s="19"/>
      <c r="F796" s="5"/>
      <c r="H796" s="19"/>
      <c r="Q796" s="5"/>
    </row>
    <row r="797">
      <c r="A797" s="44"/>
      <c r="C797" s="5"/>
      <c r="E797" s="19"/>
      <c r="F797" s="5"/>
      <c r="H797" s="19"/>
      <c r="Q797" s="5"/>
    </row>
    <row r="798">
      <c r="A798" s="44"/>
      <c r="C798" s="5"/>
      <c r="E798" s="19"/>
      <c r="F798" s="5"/>
      <c r="H798" s="19"/>
      <c r="Q798" s="5"/>
    </row>
    <row r="799">
      <c r="A799" s="44"/>
      <c r="C799" s="5"/>
      <c r="E799" s="19"/>
      <c r="F799" s="5"/>
      <c r="H799" s="19"/>
      <c r="Q799" s="5"/>
    </row>
    <row r="800">
      <c r="A800" s="44"/>
      <c r="C800" s="5"/>
      <c r="E800" s="19"/>
      <c r="F800" s="5"/>
      <c r="H800" s="19"/>
      <c r="Q800" s="5"/>
    </row>
    <row r="801">
      <c r="A801" s="44"/>
      <c r="C801" s="5"/>
      <c r="E801" s="19"/>
      <c r="F801" s="5"/>
      <c r="H801" s="19"/>
      <c r="Q801" s="5"/>
    </row>
    <row r="802">
      <c r="A802" s="44"/>
      <c r="C802" s="5"/>
      <c r="E802" s="19"/>
      <c r="F802" s="5"/>
      <c r="H802" s="19"/>
      <c r="Q802" s="5"/>
    </row>
    <row r="803">
      <c r="A803" s="44"/>
      <c r="C803" s="5"/>
      <c r="E803" s="19"/>
      <c r="F803" s="5"/>
      <c r="H803" s="19"/>
      <c r="Q803" s="5"/>
    </row>
    <row r="804">
      <c r="A804" s="44"/>
      <c r="C804" s="5"/>
      <c r="E804" s="19"/>
      <c r="F804" s="5"/>
      <c r="H804" s="19"/>
      <c r="Q804" s="5"/>
    </row>
    <row r="805">
      <c r="A805" s="44"/>
      <c r="C805" s="5"/>
      <c r="E805" s="19"/>
      <c r="F805" s="5"/>
      <c r="H805" s="19"/>
      <c r="Q805" s="5"/>
    </row>
    <row r="806">
      <c r="A806" s="44"/>
      <c r="C806" s="5"/>
      <c r="E806" s="19"/>
      <c r="F806" s="5"/>
      <c r="H806" s="19"/>
      <c r="Q806" s="5"/>
    </row>
    <row r="807">
      <c r="A807" s="44"/>
      <c r="C807" s="5"/>
      <c r="E807" s="19"/>
      <c r="F807" s="5"/>
      <c r="H807" s="19"/>
      <c r="Q807" s="5"/>
    </row>
    <row r="808">
      <c r="A808" s="44"/>
      <c r="C808" s="5"/>
      <c r="E808" s="19"/>
      <c r="F808" s="5"/>
      <c r="H808" s="19"/>
      <c r="Q808" s="5"/>
    </row>
    <row r="809">
      <c r="A809" s="44"/>
      <c r="C809" s="5"/>
      <c r="E809" s="19"/>
      <c r="F809" s="5"/>
      <c r="H809" s="19"/>
      <c r="Q809" s="5"/>
    </row>
    <row r="810">
      <c r="A810" s="44"/>
      <c r="C810" s="5"/>
      <c r="E810" s="19"/>
      <c r="F810" s="5"/>
      <c r="H810" s="19"/>
      <c r="Q810" s="5"/>
    </row>
    <row r="811">
      <c r="A811" s="44"/>
      <c r="C811" s="5"/>
      <c r="E811" s="19"/>
      <c r="F811" s="5"/>
      <c r="H811" s="19"/>
      <c r="Q811" s="5"/>
    </row>
    <row r="812">
      <c r="A812" s="44"/>
      <c r="C812" s="5"/>
      <c r="E812" s="19"/>
      <c r="F812" s="5"/>
      <c r="H812" s="19"/>
      <c r="Q812" s="5"/>
    </row>
    <row r="813">
      <c r="A813" s="44"/>
      <c r="C813" s="5"/>
      <c r="E813" s="19"/>
      <c r="F813" s="5"/>
      <c r="H813" s="19"/>
      <c r="Q813" s="5"/>
    </row>
    <row r="814">
      <c r="A814" s="44"/>
      <c r="C814" s="5"/>
      <c r="E814" s="19"/>
      <c r="F814" s="5"/>
      <c r="H814" s="19"/>
      <c r="Q814" s="5"/>
    </row>
    <row r="815">
      <c r="A815" s="44"/>
      <c r="C815" s="5"/>
      <c r="E815" s="19"/>
      <c r="F815" s="5"/>
      <c r="H815" s="19"/>
      <c r="Q815" s="5"/>
    </row>
    <row r="816">
      <c r="A816" s="44"/>
      <c r="C816" s="5"/>
      <c r="E816" s="19"/>
      <c r="F816" s="5"/>
      <c r="H816" s="19"/>
      <c r="Q816" s="5"/>
    </row>
    <row r="817">
      <c r="A817" s="44"/>
      <c r="C817" s="5"/>
      <c r="E817" s="19"/>
      <c r="F817" s="5"/>
      <c r="H817" s="19"/>
      <c r="Q817" s="5"/>
    </row>
    <row r="818">
      <c r="A818" s="44"/>
      <c r="C818" s="5"/>
      <c r="E818" s="19"/>
      <c r="F818" s="5"/>
      <c r="H818" s="19"/>
      <c r="Q818" s="5"/>
    </row>
    <row r="819">
      <c r="A819" s="44"/>
      <c r="C819" s="5"/>
      <c r="E819" s="19"/>
      <c r="F819" s="5"/>
      <c r="H819" s="19"/>
      <c r="Q819" s="5"/>
    </row>
    <row r="820">
      <c r="A820" s="44"/>
      <c r="C820" s="5"/>
      <c r="E820" s="19"/>
      <c r="F820" s="5"/>
      <c r="H820" s="19"/>
      <c r="Q820" s="5"/>
    </row>
    <row r="821">
      <c r="A821" s="44"/>
      <c r="C821" s="5"/>
      <c r="E821" s="19"/>
      <c r="F821" s="5"/>
      <c r="H821" s="19"/>
      <c r="Q821" s="5"/>
    </row>
    <row r="822">
      <c r="A822" s="44"/>
      <c r="C822" s="5"/>
      <c r="E822" s="19"/>
      <c r="F822" s="5"/>
      <c r="H822" s="19"/>
      <c r="Q822" s="5"/>
    </row>
    <row r="823">
      <c r="A823" s="44"/>
      <c r="C823" s="5"/>
      <c r="E823" s="19"/>
      <c r="F823" s="5"/>
      <c r="H823" s="19"/>
      <c r="Q823" s="5"/>
    </row>
    <row r="824">
      <c r="A824" s="44"/>
      <c r="C824" s="5"/>
      <c r="E824" s="19"/>
      <c r="F824" s="5"/>
      <c r="H824" s="19"/>
      <c r="Q824" s="5"/>
    </row>
    <row r="825">
      <c r="A825" s="44"/>
      <c r="C825" s="5"/>
      <c r="E825" s="19"/>
      <c r="F825" s="5"/>
      <c r="H825" s="19"/>
      <c r="Q825" s="5"/>
    </row>
    <row r="826">
      <c r="A826" s="44"/>
      <c r="C826" s="5"/>
      <c r="E826" s="19"/>
      <c r="F826" s="5"/>
      <c r="H826" s="19"/>
      <c r="Q826" s="5"/>
    </row>
    <row r="827">
      <c r="A827" s="44"/>
      <c r="C827" s="5"/>
      <c r="E827" s="19"/>
      <c r="F827" s="5"/>
      <c r="H827" s="19"/>
      <c r="Q827" s="5"/>
    </row>
    <row r="828">
      <c r="A828" s="44"/>
      <c r="C828" s="5"/>
      <c r="E828" s="19"/>
      <c r="F828" s="5"/>
      <c r="H828" s="19"/>
      <c r="Q828" s="5"/>
    </row>
    <row r="829">
      <c r="A829" s="44"/>
      <c r="C829" s="5"/>
      <c r="E829" s="19"/>
      <c r="F829" s="5"/>
      <c r="H829" s="19"/>
      <c r="Q829" s="5"/>
    </row>
    <row r="830">
      <c r="A830" s="44"/>
      <c r="C830" s="5"/>
      <c r="E830" s="19"/>
      <c r="F830" s="5"/>
      <c r="H830" s="19"/>
      <c r="Q830" s="5"/>
    </row>
    <row r="831">
      <c r="A831" s="44"/>
      <c r="C831" s="5"/>
      <c r="E831" s="19"/>
      <c r="F831" s="5"/>
      <c r="H831" s="19"/>
      <c r="Q831" s="5"/>
    </row>
    <row r="832">
      <c r="A832" s="44"/>
      <c r="C832" s="5"/>
      <c r="E832" s="19"/>
      <c r="F832" s="5"/>
      <c r="H832" s="19"/>
      <c r="Q832" s="5"/>
    </row>
    <row r="833">
      <c r="A833" s="44"/>
      <c r="C833" s="5"/>
      <c r="E833" s="19"/>
      <c r="F833" s="5"/>
      <c r="H833" s="19"/>
      <c r="Q833" s="5"/>
    </row>
    <row r="834">
      <c r="A834" s="44"/>
      <c r="C834" s="5"/>
      <c r="E834" s="19"/>
      <c r="F834" s="5"/>
      <c r="H834" s="19"/>
      <c r="Q834" s="5"/>
    </row>
    <row r="835">
      <c r="A835" s="44"/>
      <c r="C835" s="5"/>
      <c r="E835" s="19"/>
      <c r="F835" s="5"/>
      <c r="H835" s="19"/>
      <c r="Q835" s="5"/>
    </row>
    <row r="836">
      <c r="A836" s="44"/>
      <c r="C836" s="5"/>
      <c r="E836" s="19"/>
      <c r="F836" s="5"/>
      <c r="H836" s="19"/>
      <c r="Q836" s="5"/>
    </row>
    <row r="837">
      <c r="A837" s="44"/>
      <c r="C837" s="5"/>
      <c r="E837" s="19"/>
      <c r="F837" s="5"/>
      <c r="H837" s="19"/>
      <c r="Q837" s="5"/>
    </row>
    <row r="838">
      <c r="A838" s="44"/>
      <c r="C838" s="5"/>
      <c r="E838" s="19"/>
      <c r="F838" s="5"/>
      <c r="H838" s="19"/>
      <c r="Q838" s="5"/>
    </row>
    <row r="839">
      <c r="A839" s="44"/>
      <c r="C839" s="5"/>
      <c r="E839" s="19"/>
      <c r="F839" s="5"/>
      <c r="H839" s="19"/>
      <c r="Q839" s="5"/>
    </row>
    <row r="840">
      <c r="A840" s="44"/>
      <c r="C840" s="5"/>
      <c r="E840" s="19"/>
      <c r="F840" s="5"/>
      <c r="H840" s="19"/>
      <c r="Q840" s="5"/>
    </row>
    <row r="841">
      <c r="A841" s="44"/>
      <c r="C841" s="5"/>
      <c r="E841" s="19"/>
      <c r="F841" s="5"/>
      <c r="H841" s="19"/>
      <c r="Q841" s="5"/>
    </row>
    <row r="842">
      <c r="A842" s="44"/>
      <c r="C842" s="5"/>
      <c r="E842" s="19"/>
      <c r="F842" s="5"/>
      <c r="H842" s="19"/>
      <c r="Q842" s="5"/>
    </row>
    <row r="843">
      <c r="A843" s="44"/>
      <c r="C843" s="5"/>
      <c r="E843" s="19"/>
      <c r="F843" s="5"/>
      <c r="H843" s="19"/>
      <c r="Q843" s="5"/>
    </row>
    <row r="844">
      <c r="A844" s="44"/>
      <c r="C844" s="5"/>
      <c r="E844" s="19"/>
      <c r="F844" s="5"/>
      <c r="H844" s="19"/>
      <c r="Q844" s="5"/>
    </row>
    <row r="845">
      <c r="A845" s="44"/>
      <c r="C845" s="5"/>
      <c r="E845" s="19"/>
      <c r="F845" s="5"/>
      <c r="H845" s="19"/>
      <c r="Q845" s="5"/>
    </row>
    <row r="846">
      <c r="A846" s="44"/>
      <c r="C846" s="5"/>
      <c r="E846" s="19"/>
      <c r="F846" s="5"/>
      <c r="H846" s="19"/>
      <c r="Q846" s="5"/>
    </row>
    <row r="847">
      <c r="A847" s="44"/>
      <c r="C847" s="5"/>
      <c r="E847" s="19"/>
      <c r="F847" s="5"/>
      <c r="H847" s="19"/>
      <c r="Q847" s="5"/>
    </row>
    <row r="848">
      <c r="A848" s="44"/>
      <c r="C848" s="5"/>
      <c r="E848" s="19"/>
      <c r="F848" s="5"/>
      <c r="H848" s="19"/>
      <c r="Q848" s="5"/>
    </row>
    <row r="849">
      <c r="A849" s="44"/>
      <c r="C849" s="5"/>
      <c r="E849" s="19"/>
      <c r="F849" s="5"/>
      <c r="H849" s="19"/>
      <c r="Q849" s="5"/>
    </row>
    <row r="850">
      <c r="A850" s="44"/>
      <c r="C850" s="5"/>
      <c r="E850" s="19"/>
      <c r="F850" s="5"/>
      <c r="H850" s="19"/>
      <c r="Q850" s="5"/>
    </row>
    <row r="851">
      <c r="A851" s="44"/>
      <c r="C851" s="5"/>
      <c r="E851" s="19"/>
      <c r="F851" s="5"/>
      <c r="H851" s="19"/>
      <c r="Q851" s="5"/>
    </row>
    <row r="852">
      <c r="A852" s="44"/>
      <c r="C852" s="5"/>
      <c r="E852" s="19"/>
      <c r="F852" s="5"/>
      <c r="H852" s="19"/>
      <c r="Q852" s="5"/>
    </row>
    <row r="853">
      <c r="A853" s="44"/>
      <c r="C853" s="5"/>
      <c r="E853" s="19"/>
      <c r="F853" s="5"/>
      <c r="H853" s="19"/>
      <c r="Q853" s="5"/>
    </row>
    <row r="854">
      <c r="A854" s="44"/>
      <c r="C854" s="5"/>
      <c r="E854" s="19"/>
      <c r="F854" s="5"/>
      <c r="H854" s="19"/>
      <c r="Q854" s="5"/>
    </row>
    <row r="855">
      <c r="A855" s="44"/>
      <c r="C855" s="5"/>
      <c r="E855" s="19"/>
      <c r="F855" s="5"/>
      <c r="H855" s="19"/>
      <c r="Q855" s="5"/>
    </row>
    <row r="856">
      <c r="A856" s="44"/>
      <c r="C856" s="5"/>
      <c r="E856" s="19"/>
      <c r="F856" s="5"/>
      <c r="H856" s="19"/>
      <c r="Q856" s="5"/>
    </row>
    <row r="857">
      <c r="A857" s="44"/>
      <c r="C857" s="5"/>
      <c r="E857" s="19"/>
      <c r="F857" s="5"/>
      <c r="H857" s="19"/>
      <c r="Q857" s="5"/>
    </row>
    <row r="858">
      <c r="A858" s="44"/>
      <c r="C858" s="5"/>
      <c r="E858" s="19"/>
      <c r="F858" s="5"/>
      <c r="H858" s="19"/>
      <c r="Q858" s="5"/>
    </row>
    <row r="859">
      <c r="A859" s="44"/>
      <c r="C859" s="5"/>
      <c r="E859" s="19"/>
      <c r="F859" s="5"/>
      <c r="H859" s="19"/>
      <c r="Q859" s="5"/>
    </row>
    <row r="860">
      <c r="A860" s="44"/>
      <c r="C860" s="5"/>
      <c r="E860" s="19"/>
      <c r="F860" s="5"/>
      <c r="H860" s="19"/>
      <c r="Q860" s="5"/>
    </row>
    <row r="861">
      <c r="A861" s="44"/>
      <c r="C861" s="5"/>
      <c r="E861" s="19"/>
      <c r="F861" s="5"/>
      <c r="H861" s="19"/>
      <c r="Q861" s="5"/>
    </row>
    <row r="862">
      <c r="A862" s="44"/>
      <c r="C862" s="5"/>
      <c r="E862" s="19"/>
      <c r="F862" s="5"/>
      <c r="H862" s="19"/>
      <c r="Q862" s="5"/>
    </row>
    <row r="863">
      <c r="A863" s="44"/>
      <c r="C863" s="5"/>
      <c r="E863" s="19"/>
      <c r="F863" s="5"/>
      <c r="H863" s="19"/>
      <c r="Q863" s="5"/>
    </row>
    <row r="864">
      <c r="A864" s="44"/>
      <c r="C864" s="5"/>
      <c r="E864" s="19"/>
      <c r="F864" s="5"/>
      <c r="H864" s="19"/>
      <c r="Q864" s="5"/>
    </row>
    <row r="865">
      <c r="A865" s="44"/>
      <c r="C865" s="5"/>
      <c r="E865" s="19"/>
      <c r="F865" s="5"/>
      <c r="H865" s="19"/>
      <c r="Q865" s="5"/>
    </row>
    <row r="866">
      <c r="A866" s="44"/>
      <c r="C866" s="5"/>
      <c r="E866" s="19"/>
      <c r="F866" s="5"/>
      <c r="H866" s="19"/>
      <c r="Q866" s="5"/>
    </row>
    <row r="867">
      <c r="A867" s="44"/>
      <c r="C867" s="5"/>
      <c r="E867" s="19"/>
      <c r="F867" s="5"/>
      <c r="H867" s="19"/>
      <c r="Q867" s="5"/>
    </row>
    <row r="868">
      <c r="A868" s="44"/>
      <c r="C868" s="5"/>
      <c r="E868" s="19"/>
      <c r="F868" s="5"/>
      <c r="H868" s="19"/>
      <c r="Q868" s="5"/>
    </row>
    <row r="869">
      <c r="A869" s="44"/>
      <c r="C869" s="5"/>
      <c r="E869" s="19"/>
      <c r="F869" s="5"/>
      <c r="H869" s="19"/>
      <c r="Q869" s="5"/>
    </row>
    <row r="870">
      <c r="A870" s="44"/>
      <c r="C870" s="5"/>
      <c r="E870" s="19"/>
      <c r="F870" s="5"/>
      <c r="H870" s="19"/>
      <c r="Q870" s="5"/>
    </row>
    <row r="871">
      <c r="A871" s="44"/>
      <c r="C871" s="5"/>
      <c r="E871" s="19"/>
      <c r="F871" s="5"/>
      <c r="H871" s="19"/>
      <c r="Q871" s="5"/>
    </row>
    <row r="872">
      <c r="A872" s="44"/>
      <c r="C872" s="5"/>
      <c r="E872" s="19"/>
      <c r="F872" s="5"/>
      <c r="H872" s="19"/>
      <c r="Q872" s="5"/>
    </row>
    <row r="873">
      <c r="A873" s="44"/>
      <c r="C873" s="5"/>
      <c r="E873" s="19"/>
      <c r="F873" s="5"/>
      <c r="H873" s="19"/>
      <c r="Q873" s="5"/>
    </row>
    <row r="874">
      <c r="A874" s="44"/>
      <c r="C874" s="5"/>
      <c r="E874" s="19"/>
      <c r="F874" s="5"/>
      <c r="H874" s="19"/>
      <c r="Q874" s="5"/>
    </row>
    <row r="875">
      <c r="A875" s="44"/>
      <c r="C875" s="5"/>
      <c r="E875" s="19"/>
      <c r="F875" s="5"/>
      <c r="H875" s="19"/>
      <c r="Q875" s="5"/>
    </row>
    <row r="876">
      <c r="A876" s="44"/>
      <c r="C876" s="5"/>
      <c r="E876" s="19"/>
      <c r="F876" s="5"/>
      <c r="H876" s="19"/>
      <c r="Q876" s="5"/>
    </row>
    <row r="877">
      <c r="A877" s="44"/>
      <c r="C877" s="5"/>
      <c r="E877" s="19"/>
      <c r="F877" s="5"/>
      <c r="H877" s="19"/>
      <c r="Q877" s="5"/>
    </row>
    <row r="878">
      <c r="A878" s="44"/>
      <c r="C878" s="5"/>
      <c r="E878" s="19"/>
      <c r="F878" s="5"/>
      <c r="H878" s="19"/>
      <c r="Q878" s="5"/>
    </row>
    <row r="879">
      <c r="A879" s="44"/>
      <c r="C879" s="5"/>
      <c r="E879" s="19"/>
      <c r="F879" s="5"/>
      <c r="H879" s="19"/>
      <c r="Q879" s="5"/>
    </row>
    <row r="880">
      <c r="A880" s="44"/>
      <c r="C880" s="5"/>
      <c r="E880" s="19"/>
      <c r="F880" s="5"/>
      <c r="H880" s="19"/>
      <c r="Q880" s="5"/>
    </row>
    <row r="881">
      <c r="A881" s="44"/>
      <c r="C881" s="5"/>
      <c r="E881" s="19"/>
      <c r="F881" s="5"/>
      <c r="H881" s="19"/>
      <c r="Q881" s="5"/>
    </row>
    <row r="882">
      <c r="A882" s="44"/>
      <c r="C882" s="5"/>
      <c r="E882" s="19"/>
      <c r="F882" s="5"/>
      <c r="H882" s="19"/>
      <c r="Q882" s="5"/>
    </row>
    <row r="883">
      <c r="A883" s="44"/>
      <c r="C883" s="5"/>
      <c r="E883" s="19"/>
      <c r="F883" s="5"/>
      <c r="H883" s="19"/>
      <c r="Q883" s="5"/>
    </row>
    <row r="884">
      <c r="A884" s="44"/>
      <c r="C884" s="5"/>
      <c r="E884" s="19"/>
      <c r="F884" s="5"/>
      <c r="H884" s="19"/>
      <c r="Q884" s="5"/>
    </row>
    <row r="885">
      <c r="A885" s="44"/>
      <c r="C885" s="5"/>
      <c r="E885" s="19"/>
      <c r="F885" s="5"/>
      <c r="H885" s="19"/>
      <c r="Q885" s="5"/>
    </row>
    <row r="886">
      <c r="A886" s="44"/>
      <c r="C886" s="5"/>
      <c r="E886" s="19"/>
      <c r="F886" s="5"/>
      <c r="H886" s="19"/>
      <c r="Q886" s="5"/>
    </row>
    <row r="887">
      <c r="A887" s="44"/>
      <c r="C887" s="5"/>
      <c r="E887" s="19"/>
      <c r="F887" s="5"/>
      <c r="H887" s="19"/>
      <c r="Q887" s="5"/>
    </row>
    <row r="888">
      <c r="A888" s="44"/>
      <c r="C888" s="5"/>
      <c r="E888" s="19"/>
      <c r="F888" s="5"/>
      <c r="H888" s="19"/>
      <c r="Q888" s="5"/>
    </row>
    <row r="889">
      <c r="A889" s="44"/>
      <c r="C889" s="5"/>
      <c r="E889" s="19"/>
      <c r="F889" s="5"/>
      <c r="H889" s="19"/>
      <c r="Q889" s="5"/>
    </row>
    <row r="890">
      <c r="A890" s="44"/>
      <c r="C890" s="5"/>
      <c r="E890" s="19"/>
      <c r="F890" s="5"/>
      <c r="H890" s="19"/>
      <c r="Q890" s="5"/>
    </row>
    <row r="891">
      <c r="A891" s="44"/>
      <c r="C891" s="5"/>
      <c r="E891" s="19"/>
      <c r="F891" s="5"/>
      <c r="H891" s="19"/>
      <c r="Q891" s="5"/>
    </row>
    <row r="892">
      <c r="A892" s="44"/>
      <c r="C892" s="5"/>
      <c r="E892" s="19"/>
      <c r="F892" s="5"/>
      <c r="H892" s="19"/>
      <c r="Q892" s="5"/>
    </row>
    <row r="893">
      <c r="A893" s="44"/>
      <c r="C893" s="5"/>
      <c r="E893" s="19"/>
      <c r="F893" s="5"/>
      <c r="H893" s="19"/>
      <c r="Q893" s="5"/>
    </row>
    <row r="894">
      <c r="A894" s="44"/>
      <c r="C894" s="5"/>
      <c r="E894" s="19"/>
      <c r="F894" s="5"/>
      <c r="H894" s="19"/>
      <c r="Q894" s="5"/>
    </row>
    <row r="895">
      <c r="A895" s="44"/>
      <c r="C895" s="5"/>
      <c r="E895" s="19"/>
      <c r="F895" s="5"/>
      <c r="H895" s="19"/>
      <c r="Q895" s="5"/>
    </row>
    <row r="896">
      <c r="A896" s="44"/>
      <c r="C896" s="5"/>
      <c r="E896" s="19"/>
      <c r="F896" s="5"/>
      <c r="H896" s="19"/>
      <c r="Q896" s="5"/>
    </row>
    <row r="897">
      <c r="A897" s="44"/>
      <c r="C897" s="5"/>
      <c r="E897" s="19"/>
      <c r="F897" s="5"/>
      <c r="H897" s="19"/>
      <c r="Q897" s="5"/>
    </row>
    <row r="898">
      <c r="A898" s="44"/>
      <c r="C898" s="5"/>
      <c r="E898" s="19"/>
      <c r="F898" s="5"/>
      <c r="H898" s="19"/>
      <c r="Q898" s="5"/>
    </row>
    <row r="899">
      <c r="A899" s="44"/>
      <c r="C899" s="5"/>
      <c r="E899" s="19"/>
      <c r="F899" s="5"/>
      <c r="H899" s="19"/>
      <c r="Q899" s="5"/>
    </row>
    <row r="900">
      <c r="A900" s="44"/>
      <c r="C900" s="5"/>
      <c r="E900" s="19"/>
      <c r="F900" s="5"/>
      <c r="H900" s="19"/>
      <c r="Q900" s="5"/>
    </row>
    <row r="901">
      <c r="A901" s="44"/>
      <c r="C901" s="5"/>
      <c r="E901" s="19"/>
      <c r="F901" s="5"/>
      <c r="H901" s="19"/>
      <c r="Q901" s="5"/>
    </row>
    <row r="902">
      <c r="A902" s="44"/>
      <c r="C902" s="5"/>
      <c r="E902" s="19"/>
      <c r="F902" s="5"/>
      <c r="H902" s="19"/>
      <c r="Q902" s="5"/>
    </row>
    <row r="903">
      <c r="A903" s="44"/>
      <c r="C903" s="5"/>
      <c r="E903" s="19"/>
      <c r="F903" s="5"/>
      <c r="H903" s="19"/>
      <c r="Q903" s="5"/>
    </row>
    <row r="904">
      <c r="A904" s="44"/>
      <c r="C904" s="5"/>
      <c r="E904" s="19"/>
      <c r="F904" s="5"/>
      <c r="H904" s="19"/>
      <c r="Q904" s="5"/>
    </row>
    <row r="905">
      <c r="A905" s="44"/>
      <c r="C905" s="5"/>
      <c r="E905" s="19"/>
      <c r="F905" s="5"/>
      <c r="H905" s="19"/>
      <c r="Q905" s="5"/>
    </row>
    <row r="906">
      <c r="A906" s="44"/>
      <c r="C906" s="5"/>
      <c r="E906" s="19"/>
      <c r="F906" s="5"/>
      <c r="H906" s="19"/>
      <c r="Q906" s="5"/>
    </row>
    <row r="907">
      <c r="A907" s="44"/>
      <c r="C907" s="5"/>
      <c r="E907" s="19"/>
      <c r="F907" s="5"/>
      <c r="H907" s="19"/>
      <c r="Q907" s="5"/>
    </row>
    <row r="908">
      <c r="A908" s="44"/>
      <c r="C908" s="5"/>
      <c r="E908" s="19"/>
      <c r="F908" s="5"/>
      <c r="H908" s="19"/>
      <c r="Q908" s="5"/>
    </row>
    <row r="909">
      <c r="A909" s="44"/>
      <c r="C909" s="5"/>
      <c r="E909" s="19"/>
      <c r="F909" s="5"/>
      <c r="H909" s="19"/>
      <c r="Q909" s="5"/>
    </row>
    <row r="910">
      <c r="A910" s="44"/>
      <c r="C910" s="5"/>
      <c r="E910" s="19"/>
      <c r="F910" s="5"/>
      <c r="H910" s="19"/>
      <c r="Q910" s="5"/>
    </row>
    <row r="911">
      <c r="A911" s="44"/>
      <c r="C911" s="5"/>
      <c r="E911" s="19"/>
      <c r="F911" s="5"/>
      <c r="H911" s="19"/>
      <c r="Q911" s="5"/>
    </row>
    <row r="912">
      <c r="A912" s="44"/>
      <c r="C912" s="5"/>
      <c r="E912" s="19"/>
      <c r="F912" s="5"/>
      <c r="H912" s="19"/>
      <c r="Q912" s="5"/>
    </row>
    <row r="913">
      <c r="A913" s="44"/>
      <c r="C913" s="5"/>
      <c r="E913" s="19"/>
      <c r="F913" s="5"/>
      <c r="H913" s="19"/>
      <c r="Q913" s="5"/>
    </row>
    <row r="914">
      <c r="A914" s="44"/>
      <c r="C914" s="5"/>
      <c r="E914" s="19"/>
      <c r="F914" s="5"/>
      <c r="H914" s="19"/>
      <c r="Q914" s="5"/>
    </row>
    <row r="915">
      <c r="A915" s="44"/>
      <c r="C915" s="5"/>
      <c r="E915" s="19"/>
      <c r="F915" s="5"/>
      <c r="H915" s="19"/>
      <c r="Q915" s="5"/>
    </row>
    <row r="916">
      <c r="A916" s="44"/>
      <c r="C916" s="5"/>
      <c r="E916" s="19"/>
      <c r="F916" s="5"/>
      <c r="H916" s="19"/>
      <c r="Q916" s="5"/>
    </row>
    <row r="917">
      <c r="A917" s="44"/>
      <c r="C917" s="5"/>
      <c r="E917" s="19"/>
      <c r="F917" s="5"/>
      <c r="H917" s="19"/>
      <c r="Q917" s="5"/>
    </row>
    <row r="918">
      <c r="A918" s="44"/>
      <c r="C918" s="5"/>
      <c r="E918" s="19"/>
      <c r="F918" s="5"/>
      <c r="H918" s="19"/>
      <c r="Q918" s="5"/>
    </row>
    <row r="919">
      <c r="A919" s="44"/>
      <c r="C919" s="5"/>
      <c r="E919" s="19"/>
      <c r="F919" s="5"/>
      <c r="H919" s="19"/>
      <c r="Q919" s="5"/>
    </row>
    <row r="920">
      <c r="A920" s="44"/>
      <c r="C920" s="5"/>
      <c r="E920" s="19"/>
      <c r="F920" s="5"/>
      <c r="H920" s="19"/>
      <c r="Q920" s="5"/>
    </row>
    <row r="921">
      <c r="A921" s="44"/>
      <c r="C921" s="5"/>
      <c r="E921" s="19"/>
      <c r="F921" s="5"/>
      <c r="H921" s="19"/>
      <c r="Q921" s="5"/>
    </row>
    <row r="922">
      <c r="A922" s="44"/>
      <c r="C922" s="5"/>
      <c r="E922" s="19"/>
      <c r="F922" s="5"/>
      <c r="H922" s="19"/>
      <c r="Q922" s="5"/>
    </row>
    <row r="923">
      <c r="A923" s="44"/>
      <c r="C923" s="5"/>
      <c r="E923" s="19"/>
      <c r="F923" s="5"/>
      <c r="H923" s="19"/>
      <c r="Q923" s="5"/>
    </row>
    <row r="924">
      <c r="A924" s="44"/>
      <c r="C924" s="5"/>
      <c r="E924" s="19"/>
      <c r="F924" s="5"/>
      <c r="H924" s="19"/>
      <c r="Q924" s="5"/>
    </row>
    <row r="925">
      <c r="A925" s="44"/>
      <c r="C925" s="5"/>
      <c r="E925" s="19"/>
      <c r="F925" s="5"/>
      <c r="H925" s="19"/>
      <c r="Q925" s="5"/>
    </row>
    <row r="926">
      <c r="A926" s="44"/>
      <c r="C926" s="5"/>
      <c r="E926" s="19"/>
      <c r="F926" s="5"/>
      <c r="H926" s="19"/>
      <c r="Q926" s="5"/>
    </row>
    <row r="927">
      <c r="A927" s="44"/>
      <c r="C927" s="5"/>
      <c r="E927" s="19"/>
      <c r="F927" s="5"/>
      <c r="H927" s="19"/>
      <c r="Q927" s="5"/>
    </row>
    <row r="928">
      <c r="A928" s="44"/>
      <c r="C928" s="5"/>
      <c r="E928" s="19"/>
      <c r="F928" s="5"/>
      <c r="H928" s="19"/>
      <c r="Q928" s="5"/>
    </row>
    <row r="929">
      <c r="A929" s="44"/>
      <c r="C929" s="5"/>
      <c r="E929" s="19"/>
      <c r="F929" s="5"/>
      <c r="H929" s="19"/>
      <c r="Q929" s="5"/>
    </row>
    <row r="930">
      <c r="A930" s="44"/>
      <c r="C930" s="5"/>
      <c r="E930" s="19"/>
      <c r="F930" s="5"/>
      <c r="H930" s="19"/>
      <c r="Q930" s="5"/>
    </row>
    <row r="931">
      <c r="A931" s="44"/>
      <c r="C931" s="5"/>
      <c r="E931" s="19"/>
      <c r="F931" s="5"/>
      <c r="H931" s="19"/>
      <c r="Q931" s="5"/>
    </row>
    <row r="932">
      <c r="A932" s="44"/>
      <c r="C932" s="5"/>
      <c r="E932" s="19"/>
      <c r="F932" s="5"/>
      <c r="H932" s="19"/>
      <c r="Q932" s="5"/>
    </row>
    <row r="933">
      <c r="A933" s="44"/>
      <c r="C933" s="5"/>
      <c r="E933" s="19"/>
      <c r="F933" s="5"/>
      <c r="H933" s="19"/>
      <c r="Q933" s="5"/>
    </row>
    <row r="934">
      <c r="A934" s="44"/>
      <c r="C934" s="5"/>
      <c r="E934" s="19"/>
      <c r="F934" s="5"/>
      <c r="H934" s="19"/>
      <c r="Q934" s="5"/>
    </row>
    <row r="935">
      <c r="A935" s="44"/>
      <c r="C935" s="5"/>
      <c r="E935" s="19"/>
      <c r="F935" s="5"/>
      <c r="H935" s="19"/>
      <c r="Q935" s="5"/>
    </row>
    <row r="936">
      <c r="A936" s="44"/>
      <c r="C936" s="5"/>
      <c r="E936" s="19"/>
      <c r="F936" s="5"/>
      <c r="H936" s="19"/>
      <c r="Q936" s="5"/>
    </row>
    <row r="937">
      <c r="A937" s="44"/>
      <c r="C937" s="5"/>
      <c r="E937" s="19"/>
      <c r="F937" s="5"/>
      <c r="H937" s="19"/>
      <c r="Q937" s="5"/>
    </row>
    <row r="938">
      <c r="A938" s="44"/>
      <c r="C938" s="5"/>
      <c r="E938" s="19"/>
      <c r="F938" s="5"/>
      <c r="H938" s="19"/>
      <c r="Q938" s="5"/>
    </row>
    <row r="939">
      <c r="A939" s="44"/>
      <c r="C939" s="5"/>
      <c r="E939" s="19"/>
      <c r="F939" s="5"/>
      <c r="H939" s="19"/>
      <c r="Q939" s="5"/>
    </row>
    <row r="940">
      <c r="A940" s="44"/>
      <c r="C940" s="5"/>
      <c r="E940" s="19"/>
      <c r="F940" s="5"/>
      <c r="H940" s="19"/>
      <c r="Q940" s="5"/>
    </row>
    <row r="941">
      <c r="A941" s="44"/>
      <c r="C941" s="5"/>
      <c r="E941" s="19"/>
      <c r="F941" s="5"/>
      <c r="H941" s="19"/>
      <c r="Q941" s="5"/>
    </row>
    <row r="942">
      <c r="A942" s="44"/>
      <c r="C942" s="5"/>
      <c r="E942" s="19"/>
      <c r="F942" s="5"/>
      <c r="H942" s="19"/>
      <c r="Q942" s="5"/>
    </row>
    <row r="943">
      <c r="A943" s="44"/>
      <c r="C943" s="5"/>
      <c r="E943" s="19"/>
      <c r="F943" s="5"/>
      <c r="H943" s="19"/>
      <c r="Q943" s="5"/>
    </row>
    <row r="944">
      <c r="A944" s="44"/>
      <c r="C944" s="5"/>
      <c r="E944" s="19"/>
      <c r="F944" s="5"/>
      <c r="H944" s="19"/>
      <c r="Q944" s="5"/>
    </row>
    <row r="945">
      <c r="A945" s="44"/>
      <c r="C945" s="5"/>
      <c r="E945" s="19"/>
      <c r="F945" s="5"/>
      <c r="H945" s="19"/>
      <c r="Q945" s="5"/>
    </row>
    <row r="946">
      <c r="A946" s="44"/>
      <c r="C946" s="5"/>
      <c r="E946" s="19"/>
      <c r="F946" s="5"/>
      <c r="H946" s="19"/>
      <c r="Q946" s="5"/>
    </row>
    <row r="947">
      <c r="A947" s="44"/>
      <c r="C947" s="5"/>
      <c r="E947" s="19"/>
      <c r="F947" s="5"/>
      <c r="H947" s="19"/>
      <c r="Q947" s="5"/>
    </row>
    <row r="948">
      <c r="A948" s="44"/>
      <c r="C948" s="5"/>
      <c r="E948" s="19"/>
      <c r="F948" s="5"/>
      <c r="H948" s="19"/>
      <c r="Q948" s="5"/>
    </row>
    <row r="949">
      <c r="A949" s="44"/>
      <c r="C949" s="5"/>
      <c r="E949" s="19"/>
      <c r="F949" s="5"/>
      <c r="H949" s="19"/>
      <c r="Q949" s="5"/>
    </row>
    <row r="950">
      <c r="A950" s="44"/>
      <c r="C950" s="5"/>
      <c r="E950" s="19"/>
      <c r="F950" s="5"/>
      <c r="H950" s="19"/>
      <c r="Q950" s="5"/>
    </row>
    <row r="951">
      <c r="A951" s="44"/>
      <c r="C951" s="5"/>
      <c r="E951" s="19"/>
      <c r="F951" s="5"/>
      <c r="H951" s="19"/>
      <c r="Q951" s="5"/>
    </row>
    <row r="952">
      <c r="A952" s="44"/>
      <c r="C952" s="5"/>
      <c r="E952" s="19"/>
      <c r="F952" s="5"/>
      <c r="H952" s="19"/>
      <c r="Q952" s="5"/>
    </row>
    <row r="953">
      <c r="A953" s="44"/>
      <c r="C953" s="5"/>
      <c r="E953" s="19"/>
      <c r="F953" s="5"/>
      <c r="H953" s="19"/>
      <c r="Q953" s="5"/>
    </row>
    <row r="954">
      <c r="A954" s="44"/>
      <c r="C954" s="5"/>
      <c r="E954" s="19"/>
      <c r="F954" s="5"/>
      <c r="H954" s="19"/>
      <c r="Q954" s="5"/>
    </row>
    <row r="955">
      <c r="A955" s="44"/>
      <c r="C955" s="5"/>
      <c r="E955" s="19"/>
      <c r="F955" s="5"/>
      <c r="H955" s="19"/>
      <c r="Q955" s="5"/>
    </row>
    <row r="956">
      <c r="A956" s="44"/>
      <c r="C956" s="5"/>
      <c r="E956" s="19"/>
      <c r="F956" s="5"/>
      <c r="H956" s="19"/>
      <c r="Q956" s="5"/>
    </row>
    <row r="957">
      <c r="A957" s="44"/>
      <c r="C957" s="5"/>
      <c r="E957" s="19"/>
      <c r="F957" s="5"/>
      <c r="H957" s="19"/>
      <c r="Q957" s="5"/>
    </row>
    <row r="958">
      <c r="A958" s="44"/>
      <c r="C958" s="5"/>
      <c r="E958" s="19"/>
      <c r="F958" s="5"/>
      <c r="H958" s="19"/>
      <c r="Q958" s="5"/>
    </row>
    <row r="959">
      <c r="A959" s="44"/>
      <c r="C959" s="5"/>
      <c r="E959" s="19"/>
      <c r="F959" s="5"/>
      <c r="H959" s="19"/>
      <c r="Q959" s="5"/>
    </row>
    <row r="960">
      <c r="A960" s="44"/>
      <c r="C960" s="5"/>
      <c r="E960" s="19"/>
      <c r="F960" s="5"/>
      <c r="H960" s="19"/>
      <c r="Q960" s="5"/>
    </row>
    <row r="961">
      <c r="A961" s="44"/>
      <c r="C961" s="5"/>
      <c r="E961" s="19"/>
      <c r="F961" s="5"/>
      <c r="H961" s="19"/>
      <c r="Q961" s="5"/>
    </row>
    <row r="962">
      <c r="A962" s="44"/>
      <c r="C962" s="5"/>
      <c r="E962" s="19"/>
      <c r="F962" s="5"/>
      <c r="H962" s="19"/>
      <c r="Q962" s="5"/>
    </row>
    <row r="963">
      <c r="A963" s="44"/>
      <c r="C963" s="5"/>
      <c r="E963" s="19"/>
      <c r="F963" s="5"/>
      <c r="H963" s="19"/>
      <c r="Q963" s="5"/>
    </row>
    <row r="964">
      <c r="A964" s="44"/>
      <c r="C964" s="5"/>
      <c r="E964" s="19"/>
      <c r="F964" s="5"/>
      <c r="H964" s="19"/>
      <c r="Q964" s="5"/>
    </row>
    <row r="965">
      <c r="A965" s="44"/>
      <c r="C965" s="5"/>
      <c r="E965" s="19"/>
      <c r="F965" s="5"/>
      <c r="H965" s="19"/>
      <c r="Q965" s="5"/>
    </row>
    <row r="966">
      <c r="A966" s="44"/>
      <c r="C966" s="5"/>
      <c r="E966" s="19"/>
      <c r="F966" s="5"/>
      <c r="H966" s="19"/>
      <c r="Q966" s="5"/>
    </row>
    <row r="967">
      <c r="A967" s="44"/>
      <c r="C967" s="5"/>
      <c r="E967" s="19"/>
      <c r="F967" s="5"/>
      <c r="H967" s="19"/>
      <c r="Q967" s="5"/>
    </row>
    <row r="968">
      <c r="A968" s="44"/>
      <c r="C968" s="5"/>
      <c r="E968" s="19"/>
      <c r="F968" s="5"/>
      <c r="H968" s="19"/>
      <c r="Q968" s="5"/>
    </row>
    <row r="969">
      <c r="A969" s="44"/>
      <c r="C969" s="5"/>
      <c r="E969" s="19"/>
      <c r="F969" s="5"/>
      <c r="H969" s="19"/>
      <c r="Q969" s="5"/>
    </row>
    <row r="970">
      <c r="A970" s="44"/>
      <c r="C970" s="5"/>
      <c r="E970" s="19"/>
      <c r="F970" s="5"/>
      <c r="H970" s="19"/>
      <c r="Q970" s="5"/>
    </row>
    <row r="971">
      <c r="A971" s="44"/>
      <c r="C971" s="5"/>
      <c r="E971" s="19"/>
      <c r="F971" s="5"/>
      <c r="H971" s="19"/>
      <c r="Q971" s="5"/>
    </row>
    <row r="972">
      <c r="A972" s="44"/>
      <c r="C972" s="5"/>
      <c r="E972" s="19"/>
      <c r="F972" s="5"/>
      <c r="H972" s="19"/>
      <c r="Q972" s="5"/>
    </row>
    <row r="973">
      <c r="A973" s="44"/>
      <c r="C973" s="5"/>
      <c r="E973" s="19"/>
      <c r="F973" s="5"/>
      <c r="H973" s="19"/>
      <c r="Q973" s="5"/>
    </row>
    <row r="974">
      <c r="A974" s="44"/>
      <c r="C974" s="5"/>
      <c r="E974" s="19"/>
      <c r="F974" s="5"/>
      <c r="H974" s="19"/>
      <c r="Q974" s="5"/>
    </row>
    <row r="975">
      <c r="A975" s="44"/>
      <c r="C975" s="5"/>
      <c r="E975" s="19"/>
      <c r="F975" s="5"/>
      <c r="H975" s="19"/>
      <c r="Q975" s="5"/>
    </row>
    <row r="976">
      <c r="A976" s="44"/>
      <c r="C976" s="5"/>
      <c r="E976" s="19"/>
      <c r="F976" s="5"/>
      <c r="H976" s="19"/>
      <c r="Q976" s="5"/>
    </row>
    <row r="977">
      <c r="A977" s="44"/>
      <c r="C977" s="5"/>
      <c r="E977" s="19"/>
      <c r="F977" s="5"/>
      <c r="H977" s="19"/>
      <c r="Q977" s="5"/>
    </row>
    <row r="978">
      <c r="A978" s="44"/>
      <c r="C978" s="5"/>
      <c r="E978" s="19"/>
      <c r="F978" s="5"/>
      <c r="H978" s="19"/>
      <c r="Q978" s="5"/>
    </row>
    <row r="979">
      <c r="A979" s="44"/>
      <c r="C979" s="5"/>
      <c r="E979" s="19"/>
      <c r="F979" s="5"/>
      <c r="H979" s="19"/>
      <c r="Q979" s="5"/>
    </row>
    <row r="980">
      <c r="A980" s="44"/>
      <c r="C980" s="5"/>
      <c r="E980" s="19"/>
      <c r="F980" s="5"/>
      <c r="H980" s="19"/>
      <c r="Q980" s="5"/>
    </row>
    <row r="981">
      <c r="A981" s="44"/>
      <c r="C981" s="5"/>
      <c r="E981" s="19"/>
      <c r="F981" s="5"/>
      <c r="H981" s="19"/>
      <c r="Q981" s="5"/>
    </row>
    <row r="982">
      <c r="A982" s="44"/>
      <c r="C982" s="5"/>
      <c r="E982" s="19"/>
      <c r="F982" s="5"/>
      <c r="H982" s="19"/>
      <c r="Q982" s="5"/>
    </row>
    <row r="983">
      <c r="A983" s="44"/>
      <c r="C983" s="5"/>
      <c r="E983" s="19"/>
      <c r="F983" s="5"/>
      <c r="H983" s="19"/>
      <c r="Q983" s="5"/>
    </row>
    <row r="984">
      <c r="A984" s="44"/>
      <c r="C984" s="5"/>
      <c r="E984" s="19"/>
      <c r="F984" s="5"/>
      <c r="H984" s="19"/>
      <c r="Q984" s="5"/>
    </row>
    <row r="985">
      <c r="A985" s="44"/>
      <c r="C985" s="5"/>
      <c r="E985" s="19"/>
      <c r="F985" s="5"/>
      <c r="H985" s="19"/>
      <c r="Q985" s="5"/>
    </row>
    <row r="986">
      <c r="A986" s="44"/>
      <c r="C986" s="5"/>
      <c r="E986" s="19"/>
      <c r="F986" s="5"/>
      <c r="H986" s="19"/>
      <c r="Q986" s="5"/>
    </row>
    <row r="987">
      <c r="A987" s="44"/>
      <c r="C987" s="5"/>
      <c r="E987" s="19"/>
      <c r="F987" s="5"/>
      <c r="H987" s="19"/>
      <c r="Q987" s="5"/>
    </row>
    <row r="988">
      <c r="A988" s="44"/>
      <c r="C988" s="5"/>
      <c r="E988" s="19"/>
      <c r="F988" s="5"/>
      <c r="H988" s="19"/>
      <c r="Q988" s="5"/>
    </row>
    <row r="989">
      <c r="A989" s="44"/>
      <c r="C989" s="5"/>
      <c r="E989" s="19"/>
      <c r="F989" s="5"/>
      <c r="H989" s="19"/>
      <c r="Q989" s="5"/>
    </row>
    <row r="990">
      <c r="A990" s="44"/>
      <c r="C990" s="5"/>
      <c r="E990" s="19"/>
      <c r="F990" s="5"/>
      <c r="H990" s="19"/>
      <c r="Q990" s="5"/>
    </row>
    <row r="991">
      <c r="A991" s="44"/>
      <c r="C991" s="5"/>
      <c r="E991" s="19"/>
      <c r="F991" s="5"/>
      <c r="H991" s="19"/>
      <c r="Q991" s="5"/>
    </row>
    <row r="992">
      <c r="A992" s="44"/>
      <c r="C992" s="5"/>
      <c r="E992" s="19"/>
      <c r="F992" s="5"/>
      <c r="H992" s="19"/>
      <c r="Q992" s="5"/>
    </row>
    <row r="993">
      <c r="A993" s="44"/>
      <c r="C993" s="5"/>
      <c r="E993" s="19"/>
      <c r="F993" s="5"/>
      <c r="H993" s="19"/>
      <c r="Q993" s="5"/>
    </row>
    <row r="994">
      <c r="A994" s="44"/>
      <c r="C994" s="5"/>
      <c r="E994" s="19"/>
      <c r="F994" s="5"/>
      <c r="H994" s="19"/>
      <c r="Q994" s="5"/>
    </row>
    <row r="995">
      <c r="A995" s="44"/>
      <c r="C995" s="5"/>
      <c r="E995" s="19"/>
      <c r="F995" s="5"/>
      <c r="H995" s="19"/>
      <c r="Q995" s="5"/>
    </row>
    <row r="996">
      <c r="A996" s="44"/>
      <c r="C996" s="5"/>
      <c r="E996" s="19"/>
      <c r="F996" s="5"/>
      <c r="H996" s="19"/>
      <c r="Q996" s="5"/>
    </row>
    <row r="997">
      <c r="A997" s="44"/>
      <c r="C997" s="5"/>
      <c r="E997" s="19"/>
      <c r="F997" s="5"/>
      <c r="H997" s="19"/>
      <c r="Q997" s="5"/>
    </row>
    <row r="998">
      <c r="A998" s="44"/>
      <c r="C998" s="5"/>
      <c r="E998" s="19"/>
      <c r="F998" s="5"/>
      <c r="H998" s="19"/>
      <c r="Q998" s="5"/>
    </row>
    <row r="999">
      <c r="A999" s="39"/>
      <c r="C999" s="5"/>
      <c r="E999" s="19"/>
      <c r="F999" s="5"/>
      <c r="H999" s="19"/>
      <c r="Q999" s="5"/>
    </row>
    <row r="1000">
      <c r="A1000" s="39"/>
      <c r="C1000" s="5"/>
      <c r="E1000" s="19"/>
      <c r="F1000" s="5"/>
      <c r="H1000" s="19"/>
      <c r="Q1000" s="5"/>
    </row>
  </sheetData>
  <conditionalFormatting sqref="Q1:Q1000">
    <cfRule type="cellIs" dxfId="0" priority="1" operator="lessThan">
      <formula>20</formula>
    </cfRule>
  </conditionalFormatting>
  <conditionalFormatting sqref="Q1:Q1000">
    <cfRule type="cellIs" dxfId="6" priority="2" operator="lessThan">
      <formula>30</formula>
    </cfRule>
  </conditionalFormatting>
  <conditionalFormatting sqref="Q1:Q1000">
    <cfRule type="cellIs" dxfId="1" priority="3" operator="greaterThanOrEqual">
      <formula>30</formula>
    </cfRule>
  </conditionalFormatting>
  <conditionalFormatting sqref="I1">
    <cfRule type="cellIs" dxfId="1" priority="4" operator="lessThan">
      <formula>0</formula>
    </cfRule>
  </conditionalFormatting>
  <conditionalFormatting sqref="I1">
    <cfRule type="cellIs" dxfId="0" priority="5" operator="greaterThan">
      <formula>0</formula>
    </cfRule>
  </conditionalFormatting>
  <conditionalFormatting sqref="F11">
    <cfRule type="cellIs" dxfId="3" priority="6" operator="greaterThan">
      <formula>0</formula>
    </cfRule>
  </conditionalFormatting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196.84</v>
      </c>
      <c r="H1" s="1" t="s">
        <v>46</v>
      </c>
      <c r="I1" s="5">
        <f>I5-I6</f>
        <v>-95.26</v>
      </c>
      <c r="J1" s="19"/>
      <c r="K1" s="1" t="s">
        <v>47</v>
      </c>
      <c r="L1" s="5">
        <f t="shared" ref="L1:L4" si="1">SUMIF(B:B,K1,C:I)</f>
        <v>91.86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45170.0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6.58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15.65</v>
      </c>
      <c r="N2" s="39">
        <v>45170.0</v>
      </c>
      <c r="O2" s="5">
        <f>sumif(A:A,N2,C:C)-SUM(C2,C3,C4,C5)</f>
        <v>26.9</v>
      </c>
      <c r="P2" s="5">
        <f>SUM(O2)</f>
        <v>26.9</v>
      </c>
    </row>
    <row r="3">
      <c r="A3" s="39">
        <v>45170.0</v>
      </c>
      <c r="B3" s="4" t="s">
        <v>6</v>
      </c>
      <c r="C3" s="21">
        <v>250.0</v>
      </c>
      <c r="E3" s="1" t="s">
        <v>209</v>
      </c>
      <c r="F3" s="5">
        <f>SUMIF(B:B,"Pret",C:C)+SUMIF(B:B,"Breakfast",C:C)</f>
        <v>10.74</v>
      </c>
      <c r="H3" s="1" t="s">
        <v>8</v>
      </c>
      <c r="I3" s="5">
        <f>SUMIF(B:B,H3,C:C)+I1</f>
        <v>154.74</v>
      </c>
      <c r="K3" s="1" t="s">
        <v>56</v>
      </c>
      <c r="L3" s="5">
        <f t="shared" si="1"/>
        <v>16.78</v>
      </c>
      <c r="N3" s="39">
        <v>45171.0</v>
      </c>
      <c r="O3" s="40">
        <f t="shared" ref="O3:O31" si="2">sumif(A:A,N3,C:C)</f>
        <v>59.71</v>
      </c>
      <c r="P3" s="5">
        <f t="shared" ref="P3:P31" si="3">P2+O3</f>
        <v>86.61</v>
      </c>
    </row>
    <row r="4">
      <c r="A4" s="39">
        <v>45170.0</v>
      </c>
      <c r="B4" s="4" t="s">
        <v>54</v>
      </c>
      <c r="C4" s="41">
        <v>1055.0</v>
      </c>
      <c r="E4" s="1" t="s">
        <v>140</v>
      </c>
      <c r="F4" s="5">
        <f>SUMIF(B:B,E4,C:C)</f>
        <v>38.65</v>
      </c>
      <c r="K4" s="1" t="s">
        <v>59</v>
      </c>
      <c r="L4" s="5">
        <f t="shared" si="1"/>
        <v>29.93</v>
      </c>
      <c r="N4" s="39">
        <v>45172.0</v>
      </c>
      <c r="O4" s="40">
        <f t="shared" si="2"/>
        <v>60.24</v>
      </c>
      <c r="P4" s="5">
        <f t="shared" si="3"/>
        <v>146.85</v>
      </c>
    </row>
    <row r="5">
      <c r="A5" s="39">
        <v>45170.0</v>
      </c>
      <c r="B5" s="4" t="s">
        <v>252</v>
      </c>
      <c r="C5" s="21">
        <v>40.81</v>
      </c>
      <c r="H5" s="1" t="s">
        <v>65</v>
      </c>
      <c r="I5" s="49">
        <v>2616.42</v>
      </c>
      <c r="N5" s="39">
        <v>45173.0</v>
      </c>
      <c r="O5" s="40">
        <f t="shared" si="2"/>
        <v>15.9</v>
      </c>
      <c r="P5" s="5">
        <f t="shared" si="3"/>
        <v>162.75</v>
      </c>
    </row>
    <row r="6">
      <c r="A6" s="39">
        <v>45170.0</v>
      </c>
      <c r="B6" s="4" t="s">
        <v>127</v>
      </c>
      <c r="C6" s="21">
        <v>6.2</v>
      </c>
      <c r="E6" s="1" t="s">
        <v>57</v>
      </c>
      <c r="F6" s="5">
        <f>sum(L:L)</f>
        <v>154.22</v>
      </c>
      <c r="H6" s="1" t="s">
        <v>68</v>
      </c>
      <c r="I6" s="5">
        <f>sum(C:C)</f>
        <v>2711.68</v>
      </c>
      <c r="N6" s="39">
        <v>45174.0</v>
      </c>
      <c r="O6" s="40">
        <f t="shared" si="2"/>
        <v>13</v>
      </c>
      <c r="P6" s="5">
        <f t="shared" si="3"/>
        <v>175.75</v>
      </c>
    </row>
    <row r="7">
      <c r="A7" s="39">
        <v>45170.0</v>
      </c>
      <c r="B7" s="4" t="s">
        <v>45</v>
      </c>
      <c r="C7" s="21">
        <v>11.4</v>
      </c>
      <c r="E7" s="42" t="s">
        <v>61</v>
      </c>
      <c r="F7" s="5">
        <f>SUMIF(B:B,"Games",C:C)+SUMIF(B:B,"Spotify",C:C)+SUMIF(B:B,"Disney+",C:C)+SUMIF(B:B,"Book",C:C)+SUMIF(B:B,"Audible",C:C)</f>
        <v>45.36</v>
      </c>
      <c r="H7" s="1" t="s">
        <v>72</v>
      </c>
      <c r="I7" s="5">
        <f>sum(F:F)+I2+I3</f>
        <v>2180.34</v>
      </c>
      <c r="N7" s="39">
        <v>45175.0</v>
      </c>
      <c r="O7" s="40">
        <f t="shared" si="2"/>
        <v>15.65</v>
      </c>
      <c r="P7" s="5">
        <f t="shared" si="3"/>
        <v>191.4</v>
      </c>
    </row>
    <row r="8">
      <c r="A8" s="39">
        <v>45170.0</v>
      </c>
      <c r="B8" s="4" t="s">
        <v>127</v>
      </c>
      <c r="C8" s="21">
        <v>2.8</v>
      </c>
      <c r="E8" s="1" t="s">
        <v>64</v>
      </c>
      <c r="F8" s="5">
        <f>SUMIF(B:B,E8,C:C)+SUMIF(B:B,"Shoes",C:C)</f>
        <v>0</v>
      </c>
      <c r="H8" s="1" t="s">
        <v>74</v>
      </c>
      <c r="I8" s="5">
        <f>I6-I7</f>
        <v>531.34</v>
      </c>
      <c r="N8" s="39">
        <v>45176.0</v>
      </c>
      <c r="O8" s="40">
        <f t="shared" si="2"/>
        <v>24.47</v>
      </c>
      <c r="P8" s="5">
        <f t="shared" si="3"/>
        <v>215.87</v>
      </c>
    </row>
    <row r="9">
      <c r="A9" s="39">
        <v>45170.0</v>
      </c>
      <c r="B9" s="4" t="s">
        <v>47</v>
      </c>
      <c r="C9" s="21">
        <v>6.5</v>
      </c>
      <c r="E9" s="1" t="s">
        <v>54</v>
      </c>
      <c r="F9" s="5">
        <f>SUMIF(B:B,E9,C:C)+SUMIF(B:B,"Phone",C:C)</f>
        <v>1145.81</v>
      </c>
      <c r="H9" s="1"/>
      <c r="N9" s="39">
        <v>45177.0</v>
      </c>
      <c r="O9" s="40">
        <f t="shared" si="2"/>
        <v>113.21</v>
      </c>
      <c r="P9" s="5">
        <f t="shared" si="3"/>
        <v>329.08</v>
      </c>
    </row>
    <row r="10">
      <c r="A10" s="39">
        <v>45171.0</v>
      </c>
      <c r="B10" s="4" t="s">
        <v>445</v>
      </c>
      <c r="C10" s="21">
        <v>25.0</v>
      </c>
      <c r="E10" s="1" t="s">
        <v>127</v>
      </c>
      <c r="F10" s="5">
        <f>SUMIF(B:B,E10,C:C)</f>
        <v>104.95</v>
      </c>
      <c r="H10" s="53" t="s">
        <v>3</v>
      </c>
      <c r="I10" s="54">
        <f>(I3+I2)/I5</f>
        <v>0.1546922895</v>
      </c>
      <c r="N10" s="39">
        <v>45178.0</v>
      </c>
      <c r="O10" s="40">
        <f t="shared" si="2"/>
        <v>84.14</v>
      </c>
      <c r="P10" s="5">
        <f t="shared" si="3"/>
        <v>413.22</v>
      </c>
    </row>
    <row r="11">
      <c r="A11" s="39">
        <v>45171.0</v>
      </c>
      <c r="B11" s="4" t="s">
        <v>127</v>
      </c>
      <c r="C11" s="21">
        <v>5.6</v>
      </c>
      <c r="E11" s="1" t="s">
        <v>164</v>
      </c>
      <c r="F11" s="48">
        <f>SUMIF(B:B,"Cigs",C:C)</f>
        <v>13.6</v>
      </c>
      <c r="N11" s="39">
        <v>45179.0</v>
      </c>
      <c r="O11" s="40">
        <f t="shared" si="2"/>
        <v>0</v>
      </c>
      <c r="P11" s="5">
        <f t="shared" si="3"/>
        <v>413.22</v>
      </c>
    </row>
    <row r="12">
      <c r="A12" s="39">
        <v>45171.0</v>
      </c>
      <c r="B12" s="4" t="s">
        <v>56</v>
      </c>
      <c r="C12" s="21">
        <v>0.7</v>
      </c>
      <c r="E12" s="1" t="s">
        <v>73</v>
      </c>
      <c r="F12" s="5">
        <f>SUMIF(B:B,"Uber",C:C)</f>
        <v>47.85</v>
      </c>
      <c r="N12" s="39">
        <v>45180.0</v>
      </c>
      <c r="O12" s="40">
        <f t="shared" si="2"/>
        <v>16</v>
      </c>
      <c r="P12" s="5">
        <f t="shared" si="3"/>
        <v>429.22</v>
      </c>
    </row>
    <row r="13">
      <c r="A13" s="39">
        <v>45171.0</v>
      </c>
      <c r="B13" s="4" t="s">
        <v>446</v>
      </c>
      <c r="C13" s="21">
        <v>2.18</v>
      </c>
      <c r="E13" s="1" t="s">
        <v>75</v>
      </c>
      <c r="F13" s="40">
        <f>SUMIF(B:B,"Gym",C:C)+SUMIF(B:B,"Climbing",C:C)</f>
        <v>11</v>
      </c>
      <c r="N13" s="39">
        <v>45181.0</v>
      </c>
      <c r="O13" s="40">
        <f t="shared" si="2"/>
        <v>2.7</v>
      </c>
      <c r="P13" s="5">
        <f t="shared" si="3"/>
        <v>431.92</v>
      </c>
    </row>
    <row r="14">
      <c r="A14" s="39">
        <v>45171.0</v>
      </c>
      <c r="B14" s="4" t="s">
        <v>73</v>
      </c>
      <c r="C14" s="21">
        <v>11.98</v>
      </c>
      <c r="H14" s="19"/>
      <c r="N14" s="39">
        <v>45182.0</v>
      </c>
      <c r="O14" s="40">
        <f t="shared" si="2"/>
        <v>110.54</v>
      </c>
      <c r="P14" s="5">
        <f t="shared" si="3"/>
        <v>542.46</v>
      </c>
    </row>
    <row r="15">
      <c r="A15" s="39">
        <v>45171.0</v>
      </c>
      <c r="B15" s="4" t="s">
        <v>59</v>
      </c>
      <c r="C15" s="21">
        <v>14.25</v>
      </c>
      <c r="H15" s="19"/>
      <c r="N15" s="39">
        <v>45183.0</v>
      </c>
      <c r="O15" s="40">
        <f t="shared" si="2"/>
        <v>33.55</v>
      </c>
      <c r="P15" s="5">
        <f t="shared" si="3"/>
        <v>576.01</v>
      </c>
    </row>
    <row r="16">
      <c r="A16" s="39">
        <v>45172.0</v>
      </c>
      <c r="B16" s="4" t="s">
        <v>298</v>
      </c>
      <c r="C16" s="21">
        <v>12.0</v>
      </c>
      <c r="H16" s="19"/>
      <c r="N16" s="39">
        <v>45184.0</v>
      </c>
      <c r="O16" s="40">
        <f t="shared" si="2"/>
        <v>17.99</v>
      </c>
      <c r="P16" s="5">
        <f t="shared" si="3"/>
        <v>594</v>
      </c>
    </row>
    <row r="17">
      <c r="A17" s="39">
        <v>45172.0</v>
      </c>
      <c r="B17" s="4" t="s">
        <v>164</v>
      </c>
      <c r="C17" s="21">
        <v>13.6</v>
      </c>
      <c r="H17" s="19"/>
      <c r="N17" s="39">
        <v>45185.0</v>
      </c>
      <c r="O17" s="40">
        <f t="shared" si="2"/>
        <v>76.64</v>
      </c>
      <c r="P17" s="5">
        <f t="shared" si="3"/>
        <v>670.64</v>
      </c>
    </row>
    <row r="18">
      <c r="A18" s="39">
        <v>45172.0</v>
      </c>
      <c r="B18" s="4" t="s">
        <v>127</v>
      </c>
      <c r="C18" s="21">
        <v>1.8</v>
      </c>
      <c r="H18" s="19"/>
      <c r="N18" s="39">
        <v>45186.0</v>
      </c>
      <c r="O18" s="40">
        <f t="shared" si="2"/>
        <v>3.55</v>
      </c>
      <c r="P18" s="5">
        <f t="shared" si="3"/>
        <v>674.19</v>
      </c>
    </row>
    <row r="19">
      <c r="A19" s="39">
        <v>45172.0</v>
      </c>
      <c r="B19" s="4" t="s">
        <v>45</v>
      </c>
      <c r="C19" s="21">
        <v>21.85</v>
      </c>
      <c r="H19" s="19"/>
      <c r="N19" s="39">
        <v>45187.0</v>
      </c>
      <c r="O19" s="40">
        <f t="shared" si="2"/>
        <v>20.06</v>
      </c>
      <c r="P19" s="5">
        <f t="shared" si="3"/>
        <v>694.25</v>
      </c>
    </row>
    <row r="20">
      <c r="A20" s="39">
        <v>45172.0</v>
      </c>
      <c r="B20" s="4" t="s">
        <v>230</v>
      </c>
      <c r="C20" s="21">
        <v>10.99</v>
      </c>
      <c r="H20" s="19"/>
      <c r="N20" s="39">
        <v>45188.0</v>
      </c>
      <c r="O20" s="40">
        <f t="shared" si="2"/>
        <v>3.5</v>
      </c>
      <c r="P20" s="5">
        <f t="shared" si="3"/>
        <v>697.75</v>
      </c>
    </row>
    <row r="21">
      <c r="A21" s="39">
        <v>45173.0</v>
      </c>
      <c r="B21" s="4" t="s">
        <v>127</v>
      </c>
      <c r="C21" s="21">
        <v>3.6</v>
      </c>
      <c r="E21" s="19"/>
      <c r="F21" s="5"/>
      <c r="H21" s="19"/>
      <c r="N21" s="39">
        <v>45189.0</v>
      </c>
      <c r="O21" s="40">
        <f t="shared" si="2"/>
        <v>35.47</v>
      </c>
      <c r="P21" s="5">
        <f t="shared" si="3"/>
        <v>733.22</v>
      </c>
    </row>
    <row r="22">
      <c r="A22" s="39">
        <v>45173.0</v>
      </c>
      <c r="B22" s="4" t="s">
        <v>47</v>
      </c>
      <c r="C22" s="21">
        <v>12.3</v>
      </c>
      <c r="E22" s="19"/>
      <c r="F22" s="5"/>
      <c r="H22" s="19"/>
      <c r="N22" s="39">
        <v>45190.0</v>
      </c>
      <c r="O22" s="40">
        <f t="shared" si="2"/>
        <v>72.05</v>
      </c>
      <c r="P22" s="5">
        <f t="shared" si="3"/>
        <v>805.27</v>
      </c>
    </row>
    <row r="23">
      <c r="A23" s="39">
        <v>45174.0</v>
      </c>
      <c r="B23" s="4" t="s">
        <v>140</v>
      </c>
      <c r="C23" s="21">
        <v>10.0</v>
      </c>
      <c r="E23" s="19"/>
      <c r="F23" s="5"/>
      <c r="H23" s="19"/>
      <c r="N23" s="39">
        <v>45191.0</v>
      </c>
      <c r="O23" s="40">
        <f t="shared" si="2"/>
        <v>11.85</v>
      </c>
      <c r="P23" s="5">
        <f t="shared" si="3"/>
        <v>817.12</v>
      </c>
    </row>
    <row r="24">
      <c r="A24" s="39">
        <v>45174.0</v>
      </c>
      <c r="B24" s="4" t="s">
        <v>56</v>
      </c>
      <c r="C24" s="21">
        <v>3.0</v>
      </c>
      <c r="E24" s="19"/>
      <c r="F24" s="5"/>
      <c r="H24" s="19"/>
      <c r="N24" s="39">
        <v>45192.0</v>
      </c>
      <c r="O24" s="40">
        <f t="shared" si="2"/>
        <v>82.1</v>
      </c>
      <c r="P24" s="5">
        <f t="shared" si="3"/>
        <v>899.22</v>
      </c>
    </row>
    <row r="25">
      <c r="A25" s="39">
        <v>45175.0</v>
      </c>
      <c r="B25" s="4" t="s">
        <v>127</v>
      </c>
      <c r="C25" s="21">
        <v>6.8</v>
      </c>
      <c r="E25" s="19"/>
      <c r="F25" s="5"/>
      <c r="H25" s="19"/>
      <c r="N25" s="39">
        <v>45193.0</v>
      </c>
      <c r="O25" s="40">
        <f t="shared" si="2"/>
        <v>72.28</v>
      </c>
      <c r="P25" s="5">
        <f t="shared" si="3"/>
        <v>971.5</v>
      </c>
    </row>
    <row r="26">
      <c r="A26" s="39">
        <v>45175.0</v>
      </c>
      <c r="B26" s="4" t="s">
        <v>47</v>
      </c>
      <c r="C26" s="21">
        <v>8.85</v>
      </c>
      <c r="E26" s="19"/>
      <c r="F26" s="5"/>
      <c r="H26" s="19"/>
      <c r="N26" s="39">
        <v>45194.0</v>
      </c>
      <c r="O26" s="40">
        <f t="shared" si="2"/>
        <v>52.82</v>
      </c>
      <c r="P26" s="5">
        <f t="shared" si="3"/>
        <v>1024.32</v>
      </c>
    </row>
    <row r="27">
      <c r="A27" s="39">
        <v>45176.0</v>
      </c>
      <c r="B27" s="4" t="s">
        <v>209</v>
      </c>
      <c r="C27" s="21">
        <v>5.29</v>
      </c>
      <c r="E27" s="19"/>
      <c r="F27" s="5"/>
      <c r="H27" s="19"/>
      <c r="N27" s="39">
        <v>45195.0</v>
      </c>
      <c r="O27" s="40">
        <f t="shared" si="2"/>
        <v>1.45</v>
      </c>
      <c r="P27" s="5">
        <f t="shared" si="3"/>
        <v>1025.77</v>
      </c>
    </row>
    <row r="28">
      <c r="A28" s="39">
        <v>45176.0</v>
      </c>
      <c r="B28" s="4" t="s">
        <v>56</v>
      </c>
      <c r="C28" s="21">
        <v>3.5</v>
      </c>
      <c r="E28" s="19"/>
      <c r="F28" s="5"/>
      <c r="H28" s="19"/>
      <c r="N28" s="39">
        <v>45196.0</v>
      </c>
      <c r="O28" s="40">
        <f t="shared" si="2"/>
        <v>18.8</v>
      </c>
      <c r="P28" s="5">
        <f t="shared" si="3"/>
        <v>1044.57</v>
      </c>
    </row>
    <row r="29">
      <c r="A29" s="39">
        <v>45176.0</v>
      </c>
      <c r="B29" s="4" t="s">
        <v>59</v>
      </c>
      <c r="C29" s="21">
        <v>15.68</v>
      </c>
      <c r="E29" s="19"/>
      <c r="F29" s="5"/>
      <c r="H29" s="19"/>
      <c r="N29" s="39">
        <v>45197.0</v>
      </c>
      <c r="O29" s="40">
        <f t="shared" si="2"/>
        <v>14.95</v>
      </c>
      <c r="P29" s="5">
        <f t="shared" si="3"/>
        <v>1059.52</v>
      </c>
    </row>
    <row r="30">
      <c r="A30" s="39">
        <v>45177.0</v>
      </c>
      <c r="B30" s="4" t="s">
        <v>127</v>
      </c>
      <c r="C30" s="21">
        <v>6.8</v>
      </c>
      <c r="E30" s="19"/>
      <c r="F30" s="5"/>
      <c r="H30" s="19"/>
      <c r="N30" s="39">
        <v>45198.0</v>
      </c>
      <c r="O30" s="40">
        <f t="shared" si="2"/>
        <v>12.5</v>
      </c>
      <c r="P30" s="5">
        <f t="shared" si="3"/>
        <v>1072.02</v>
      </c>
    </row>
    <row r="31">
      <c r="A31" s="39">
        <v>45177.0</v>
      </c>
      <c r="B31" s="4" t="s">
        <v>447</v>
      </c>
      <c r="C31" s="21">
        <v>65.49</v>
      </c>
      <c r="E31" s="19"/>
      <c r="F31" s="5"/>
      <c r="H31" s="19"/>
      <c r="N31" s="39">
        <v>45199.0</v>
      </c>
      <c r="O31" s="40">
        <f t="shared" si="2"/>
        <v>43.85</v>
      </c>
      <c r="P31" s="5">
        <f t="shared" si="3"/>
        <v>1115.87</v>
      </c>
    </row>
    <row r="32">
      <c r="A32" s="39">
        <v>45177.0</v>
      </c>
      <c r="B32" s="4" t="s">
        <v>45</v>
      </c>
      <c r="C32" s="21">
        <v>13.5</v>
      </c>
      <c r="E32" s="19"/>
      <c r="F32" s="5"/>
      <c r="H32" s="19"/>
      <c r="N32" s="39"/>
    </row>
    <row r="33">
      <c r="A33" s="39">
        <v>45177.0</v>
      </c>
      <c r="B33" s="4" t="s">
        <v>45</v>
      </c>
      <c r="C33" s="21">
        <v>13.5</v>
      </c>
      <c r="E33" s="19"/>
      <c r="F33" s="5"/>
      <c r="H33" s="19"/>
      <c r="N33" s="39"/>
    </row>
    <row r="34">
      <c r="A34" s="39">
        <v>45177.0</v>
      </c>
      <c r="B34" s="4" t="s">
        <v>73</v>
      </c>
      <c r="C34" s="41">
        <v>13.92</v>
      </c>
      <c r="E34" s="19"/>
      <c r="F34" s="5"/>
      <c r="H34" s="19"/>
    </row>
    <row r="35">
      <c r="A35" s="39">
        <v>45178.0</v>
      </c>
      <c r="B35" s="4" t="s">
        <v>45</v>
      </c>
      <c r="C35" s="21">
        <v>14.0</v>
      </c>
      <c r="E35" s="19"/>
      <c r="F35" s="5"/>
      <c r="H35" s="19"/>
    </row>
    <row r="36">
      <c r="A36" s="39">
        <v>45178.0</v>
      </c>
      <c r="B36" s="4" t="s">
        <v>448</v>
      </c>
      <c r="C36" s="21">
        <v>17.49</v>
      </c>
      <c r="E36" s="19"/>
      <c r="F36" s="5"/>
      <c r="H36" s="19"/>
    </row>
    <row r="37">
      <c r="A37" s="39">
        <v>45178.0</v>
      </c>
      <c r="B37" s="4" t="s">
        <v>449</v>
      </c>
      <c r="C37" s="21">
        <v>10.67</v>
      </c>
      <c r="E37" s="19"/>
      <c r="F37" s="5"/>
      <c r="H37" s="19"/>
    </row>
    <row r="38">
      <c r="A38" s="39">
        <v>45178.0</v>
      </c>
      <c r="B38" s="4" t="s">
        <v>45</v>
      </c>
      <c r="C38" s="21">
        <f>7.2+13.2</f>
        <v>20.4</v>
      </c>
      <c r="E38" s="19"/>
      <c r="F38" s="5"/>
      <c r="H38" s="19"/>
    </row>
    <row r="39">
      <c r="A39" s="39">
        <v>45178.0</v>
      </c>
      <c r="B39" s="4" t="s">
        <v>52</v>
      </c>
      <c r="C39" s="21">
        <v>6.58</v>
      </c>
      <c r="E39" s="19"/>
      <c r="F39" s="5"/>
      <c r="H39" s="19"/>
    </row>
    <row r="40">
      <c r="A40" s="39">
        <v>45178.0</v>
      </c>
      <c r="B40" s="4" t="s">
        <v>372</v>
      </c>
      <c r="C40" s="21">
        <v>1.0</v>
      </c>
      <c r="E40" s="19"/>
      <c r="F40" s="5"/>
      <c r="H40" s="19"/>
    </row>
    <row r="41">
      <c r="A41" s="39">
        <v>45178.0</v>
      </c>
      <c r="B41" s="4" t="s">
        <v>45</v>
      </c>
      <c r="C41" s="21">
        <v>6.0</v>
      </c>
      <c r="E41" s="19"/>
      <c r="F41" s="5"/>
      <c r="H41" s="19"/>
    </row>
    <row r="42">
      <c r="A42" s="39">
        <v>45178.0</v>
      </c>
      <c r="B42" s="4" t="s">
        <v>73</v>
      </c>
      <c r="C42" s="21">
        <v>8.0</v>
      </c>
      <c r="E42" s="19"/>
      <c r="F42" s="5"/>
      <c r="H42" s="19"/>
    </row>
    <row r="43">
      <c r="A43" s="39">
        <v>45180.0</v>
      </c>
      <c r="B43" s="4" t="s">
        <v>127</v>
      </c>
      <c r="C43" s="21">
        <v>8.3</v>
      </c>
      <c r="E43" s="19"/>
      <c r="F43" s="5"/>
      <c r="H43" s="19"/>
    </row>
    <row r="44">
      <c r="A44" s="39">
        <v>45180.0</v>
      </c>
      <c r="B44" s="4" t="s">
        <v>47</v>
      </c>
      <c r="C44" s="21">
        <v>7.7</v>
      </c>
      <c r="E44" s="19"/>
      <c r="F44" s="5"/>
      <c r="H44" s="19"/>
    </row>
    <row r="45">
      <c r="A45" s="39">
        <v>45181.0</v>
      </c>
      <c r="B45" s="4" t="s">
        <v>127</v>
      </c>
      <c r="C45" s="21">
        <v>1.9</v>
      </c>
      <c r="E45" s="19"/>
      <c r="F45" s="5"/>
      <c r="H45" s="19"/>
    </row>
    <row r="46">
      <c r="A46" s="39">
        <v>45181.0</v>
      </c>
      <c r="B46" s="4" t="s">
        <v>56</v>
      </c>
      <c r="C46" s="21">
        <v>0.8</v>
      </c>
      <c r="E46" s="19"/>
      <c r="F46" s="5"/>
      <c r="H46" s="19"/>
    </row>
    <row r="47">
      <c r="A47" s="39">
        <v>45182.0</v>
      </c>
      <c r="B47" s="4" t="s">
        <v>127</v>
      </c>
      <c r="C47" s="21">
        <v>7.1</v>
      </c>
      <c r="E47" s="19"/>
      <c r="F47" s="5"/>
      <c r="H47" s="19"/>
    </row>
    <row r="48">
      <c r="A48" s="39">
        <v>45182.0</v>
      </c>
      <c r="B48" s="4" t="s">
        <v>450</v>
      </c>
      <c r="C48" s="21">
        <v>2.95</v>
      </c>
      <c r="E48" s="19"/>
      <c r="F48" s="5"/>
      <c r="H48" s="19"/>
    </row>
    <row r="49">
      <c r="A49" s="39">
        <v>45182.0</v>
      </c>
      <c r="B49" s="4" t="s">
        <v>451</v>
      </c>
      <c r="C49" s="21">
        <v>87.5</v>
      </c>
      <c r="E49" s="19"/>
      <c r="F49" s="5"/>
      <c r="H49" s="19"/>
    </row>
    <row r="50">
      <c r="A50" s="39">
        <v>45182.0</v>
      </c>
      <c r="B50" s="4" t="s">
        <v>452</v>
      </c>
      <c r="C50" s="21">
        <v>12.99</v>
      </c>
      <c r="E50" s="19"/>
      <c r="F50" s="5"/>
      <c r="H50" s="19"/>
    </row>
    <row r="51">
      <c r="A51" s="39">
        <v>45183.0</v>
      </c>
      <c r="B51" s="4" t="s">
        <v>210</v>
      </c>
      <c r="C51" s="21">
        <v>20.0</v>
      </c>
      <c r="E51" s="19"/>
      <c r="F51" s="5"/>
      <c r="H51" s="19"/>
    </row>
    <row r="52">
      <c r="A52" s="39">
        <v>45183.0</v>
      </c>
      <c r="B52" s="4" t="s">
        <v>127</v>
      </c>
      <c r="C52" s="21">
        <v>4.0</v>
      </c>
      <c r="E52" s="19"/>
      <c r="F52" s="5"/>
      <c r="H52" s="19"/>
    </row>
    <row r="53">
      <c r="A53" s="39">
        <v>45183.0</v>
      </c>
      <c r="B53" s="4" t="s">
        <v>373</v>
      </c>
      <c r="C53" s="21">
        <v>3.75</v>
      </c>
      <c r="E53" s="19"/>
      <c r="F53" s="5"/>
      <c r="H53" s="19"/>
    </row>
    <row r="54">
      <c r="A54" s="39">
        <v>45183.0</v>
      </c>
      <c r="B54" s="4" t="s">
        <v>47</v>
      </c>
      <c r="C54" s="21">
        <v>5.8</v>
      </c>
      <c r="E54" s="19"/>
      <c r="F54" s="5"/>
      <c r="H54" s="19"/>
    </row>
    <row r="55">
      <c r="A55" s="39">
        <v>45184.0</v>
      </c>
      <c r="B55" s="4" t="s">
        <v>297</v>
      </c>
      <c r="C55" s="21">
        <v>4.99</v>
      </c>
      <c r="E55" s="19"/>
      <c r="F55" s="5"/>
      <c r="H55" s="19"/>
    </row>
    <row r="56">
      <c r="A56" s="39">
        <v>45184.0</v>
      </c>
      <c r="B56" s="4" t="s">
        <v>127</v>
      </c>
      <c r="C56" s="21">
        <v>5.6</v>
      </c>
      <c r="E56" s="19"/>
      <c r="F56" s="5"/>
      <c r="H56" s="19"/>
    </row>
    <row r="57">
      <c r="A57" s="39">
        <v>45184.0</v>
      </c>
      <c r="B57" s="4" t="s">
        <v>47</v>
      </c>
      <c r="C57" s="21">
        <v>7.4</v>
      </c>
      <c r="E57" s="19"/>
      <c r="F57" s="5"/>
      <c r="H57" s="19"/>
    </row>
    <row r="58">
      <c r="A58" s="39">
        <v>45185.0</v>
      </c>
      <c r="B58" s="4" t="s">
        <v>45</v>
      </c>
      <c r="C58" s="21">
        <f>11.85+5.45+28.6+12+12+4.79-12</f>
        <v>62.69</v>
      </c>
      <c r="E58" s="19"/>
      <c r="F58" s="5"/>
      <c r="H58" s="19"/>
    </row>
    <row r="59">
      <c r="A59" s="39">
        <v>45185.0</v>
      </c>
      <c r="B59" s="4" t="s">
        <v>73</v>
      </c>
      <c r="C59" s="21">
        <v>13.95</v>
      </c>
      <c r="E59" s="19"/>
      <c r="F59" s="5"/>
      <c r="H59" s="19"/>
    </row>
    <row r="60">
      <c r="A60" s="39">
        <v>45186.0</v>
      </c>
      <c r="B60" s="4" t="s">
        <v>127</v>
      </c>
      <c r="C60" s="43">
        <v>3.55</v>
      </c>
      <c r="E60" s="19"/>
      <c r="F60" s="5"/>
      <c r="H60" s="19"/>
    </row>
    <row r="61">
      <c r="A61" s="39">
        <v>45187.0</v>
      </c>
      <c r="B61" s="4" t="s">
        <v>47</v>
      </c>
      <c r="C61" s="21">
        <v>20.06</v>
      </c>
      <c r="E61" s="19"/>
      <c r="F61" s="5"/>
      <c r="H61" s="19"/>
    </row>
    <row r="62">
      <c r="A62" s="39">
        <v>45188.0</v>
      </c>
      <c r="B62" s="4" t="s">
        <v>56</v>
      </c>
      <c r="C62" s="21">
        <v>3.5</v>
      </c>
      <c r="E62" s="19"/>
      <c r="F62" s="5"/>
      <c r="H62" s="19"/>
    </row>
    <row r="63">
      <c r="A63" s="39">
        <v>45189.0</v>
      </c>
      <c r="B63" s="4" t="s">
        <v>127</v>
      </c>
      <c r="C63" s="21">
        <v>6.8</v>
      </c>
      <c r="E63" s="19"/>
      <c r="F63" s="5"/>
      <c r="H63" s="19"/>
    </row>
    <row r="64">
      <c r="A64" s="39">
        <v>45189.0</v>
      </c>
      <c r="B64" s="4" t="s">
        <v>47</v>
      </c>
      <c r="C64" s="21">
        <v>14.85</v>
      </c>
      <c r="E64" s="19"/>
      <c r="F64" s="5"/>
      <c r="H64" s="19"/>
    </row>
    <row r="65">
      <c r="A65" s="39">
        <v>45189.0</v>
      </c>
      <c r="B65" s="4" t="s">
        <v>453</v>
      </c>
      <c r="C65" s="21">
        <v>13.82</v>
      </c>
      <c r="E65" s="19"/>
      <c r="F65" s="5"/>
      <c r="H65" s="19"/>
    </row>
    <row r="66">
      <c r="A66" s="39">
        <v>45190.0</v>
      </c>
      <c r="B66" s="4" t="s">
        <v>54</v>
      </c>
      <c r="C66" s="21">
        <v>50.0</v>
      </c>
      <c r="E66" s="19"/>
      <c r="F66" s="5"/>
      <c r="H66" s="19"/>
    </row>
    <row r="67">
      <c r="A67" s="39">
        <v>45190.0</v>
      </c>
      <c r="B67" s="4" t="s">
        <v>140</v>
      </c>
      <c r="C67" s="21">
        <v>12.0</v>
      </c>
      <c r="E67" s="19"/>
      <c r="F67" s="5"/>
      <c r="H67" s="19"/>
    </row>
    <row r="68">
      <c r="A68" s="39">
        <v>45190.0</v>
      </c>
      <c r="B68" s="4" t="s">
        <v>76</v>
      </c>
      <c r="C68" s="21">
        <v>3.9</v>
      </c>
      <c r="E68" s="19"/>
      <c r="F68" s="5"/>
      <c r="H68" s="19"/>
    </row>
    <row r="69">
      <c r="A69" s="39">
        <v>45190.0</v>
      </c>
      <c r="B69" s="4" t="s">
        <v>47</v>
      </c>
      <c r="C69" s="21">
        <v>6.15</v>
      </c>
      <c r="E69" s="19"/>
      <c r="F69" s="5"/>
      <c r="H69" s="19"/>
    </row>
    <row r="70">
      <c r="A70" s="39">
        <v>45191.0</v>
      </c>
      <c r="B70" s="4" t="s">
        <v>76</v>
      </c>
      <c r="C70" s="21">
        <v>3.25</v>
      </c>
      <c r="E70" s="19"/>
      <c r="F70" s="5"/>
      <c r="H70" s="19"/>
    </row>
    <row r="71">
      <c r="A71" s="39">
        <v>45191.0</v>
      </c>
      <c r="B71" s="4" t="s">
        <v>127</v>
      </c>
      <c r="C71" s="21">
        <v>6.8</v>
      </c>
      <c r="E71" s="19"/>
      <c r="F71" s="5"/>
      <c r="H71" s="19"/>
    </row>
    <row r="72">
      <c r="A72" s="39">
        <v>45191.0</v>
      </c>
      <c r="B72" s="4" t="s">
        <v>96</v>
      </c>
      <c r="C72" s="21">
        <v>1.8</v>
      </c>
      <c r="E72" s="19"/>
      <c r="F72" s="5"/>
      <c r="H72" s="19"/>
    </row>
    <row r="73">
      <c r="A73" s="39">
        <v>45192.0</v>
      </c>
      <c r="B73" s="4" t="s">
        <v>454</v>
      </c>
      <c r="C73" s="21">
        <v>20.0</v>
      </c>
      <c r="E73" s="19"/>
      <c r="F73" s="5"/>
      <c r="H73" s="19"/>
    </row>
    <row r="74">
      <c r="A74" s="39">
        <v>45192.0</v>
      </c>
      <c r="B74" s="4" t="s">
        <v>119</v>
      </c>
      <c r="C74" s="21">
        <v>28.0</v>
      </c>
      <c r="E74" s="19"/>
      <c r="F74" s="5"/>
      <c r="H74" s="19"/>
    </row>
    <row r="75">
      <c r="A75" s="39">
        <v>45192.0</v>
      </c>
      <c r="B75" s="4" t="s">
        <v>127</v>
      </c>
      <c r="C75" s="21">
        <v>2.8</v>
      </c>
      <c r="E75" s="19"/>
      <c r="F75" s="5"/>
      <c r="H75" s="19"/>
    </row>
    <row r="76">
      <c r="A76" s="39">
        <v>45192.0</v>
      </c>
      <c r="B76" s="4" t="s">
        <v>455</v>
      </c>
      <c r="C76" s="21">
        <v>27.5</v>
      </c>
      <c r="E76" s="19"/>
      <c r="F76" s="5"/>
      <c r="H76" s="19"/>
    </row>
    <row r="77">
      <c r="A77" s="39">
        <v>45192.0</v>
      </c>
      <c r="B77" s="4" t="s">
        <v>96</v>
      </c>
      <c r="C77" s="21">
        <v>1.8</v>
      </c>
      <c r="E77" s="19"/>
      <c r="F77" s="5"/>
      <c r="H77" s="19"/>
    </row>
    <row r="78">
      <c r="A78" s="39">
        <v>45192.0</v>
      </c>
      <c r="B78" s="4" t="s">
        <v>96</v>
      </c>
      <c r="C78" s="21">
        <v>2.0</v>
      </c>
      <c r="E78" s="19"/>
      <c r="F78" s="5"/>
      <c r="H78" s="19"/>
    </row>
    <row r="79">
      <c r="A79" s="39">
        <v>45193.0</v>
      </c>
      <c r="B79" s="4" t="s">
        <v>96</v>
      </c>
      <c r="C79" s="21">
        <v>2.0</v>
      </c>
      <c r="E79" s="19"/>
      <c r="F79" s="5"/>
      <c r="H79" s="19"/>
    </row>
    <row r="80">
      <c r="A80" s="39">
        <v>45193.0</v>
      </c>
      <c r="B80" s="4" t="s">
        <v>422</v>
      </c>
      <c r="C80" s="21">
        <v>11.0</v>
      </c>
      <c r="E80" s="19"/>
      <c r="F80" s="5"/>
      <c r="H80" s="19"/>
    </row>
    <row r="81">
      <c r="A81" s="39">
        <v>45193.0</v>
      </c>
      <c r="B81" s="4" t="s">
        <v>456</v>
      </c>
      <c r="C81" s="21">
        <v>54.0</v>
      </c>
      <c r="E81" s="19"/>
      <c r="F81" s="5"/>
      <c r="H81" s="19"/>
    </row>
    <row r="82">
      <c r="A82" s="39">
        <v>45193.0</v>
      </c>
      <c r="B82" s="4" t="s">
        <v>56</v>
      </c>
      <c r="C82" s="21">
        <v>5.28</v>
      </c>
      <c r="E82" s="19"/>
      <c r="F82" s="5"/>
      <c r="H82" s="19"/>
    </row>
    <row r="83">
      <c r="A83" s="39">
        <v>45194.0</v>
      </c>
      <c r="B83" s="4" t="s">
        <v>53</v>
      </c>
      <c r="C83" s="21">
        <v>15.65</v>
      </c>
      <c r="E83" s="19"/>
      <c r="F83" s="5"/>
      <c r="H83" s="19"/>
    </row>
    <row r="84">
      <c r="A84" s="39">
        <v>45194.0</v>
      </c>
      <c r="B84" s="4" t="s">
        <v>230</v>
      </c>
      <c r="C84" s="21">
        <v>6.37</v>
      </c>
      <c r="E84" s="19"/>
      <c r="F84" s="5"/>
      <c r="H84" s="19"/>
    </row>
    <row r="85">
      <c r="A85" s="39">
        <v>45194.0</v>
      </c>
      <c r="B85" s="4" t="s">
        <v>457</v>
      </c>
      <c r="C85" s="21">
        <v>28.0</v>
      </c>
      <c r="E85" s="19"/>
      <c r="F85" s="5"/>
      <c r="H85" s="19"/>
    </row>
    <row r="86">
      <c r="A86" s="39">
        <v>45194.0</v>
      </c>
      <c r="B86" s="4" t="s">
        <v>127</v>
      </c>
      <c r="C86" s="21">
        <v>2.8</v>
      </c>
      <c r="E86" s="19"/>
      <c r="F86" s="5"/>
      <c r="H86" s="19"/>
    </row>
    <row r="87">
      <c r="A87" s="39">
        <v>45195.0</v>
      </c>
      <c r="B87" s="4" t="s">
        <v>209</v>
      </c>
      <c r="C87" s="21">
        <v>1.45</v>
      </c>
      <c r="E87" s="19"/>
      <c r="F87" s="5"/>
      <c r="H87" s="19"/>
    </row>
    <row r="88">
      <c r="A88" s="39">
        <v>45196.0</v>
      </c>
      <c r="B88" s="4" t="s">
        <v>458</v>
      </c>
      <c r="C88" s="21">
        <v>12.0</v>
      </c>
      <c r="E88" s="19"/>
      <c r="F88" s="5"/>
      <c r="H88" s="19"/>
    </row>
    <row r="89">
      <c r="A89" s="39">
        <v>45196.0</v>
      </c>
      <c r="B89" s="4" t="s">
        <v>127</v>
      </c>
      <c r="C89" s="21">
        <v>6.8</v>
      </c>
      <c r="E89" s="19"/>
      <c r="F89" s="5"/>
      <c r="H89" s="19"/>
    </row>
    <row r="90">
      <c r="A90" s="39">
        <v>45197.0</v>
      </c>
      <c r="B90" s="4" t="s">
        <v>140</v>
      </c>
      <c r="C90" s="21">
        <v>10.95</v>
      </c>
      <c r="E90" s="19"/>
      <c r="F90" s="5"/>
      <c r="H90" s="19"/>
    </row>
    <row r="91">
      <c r="A91" s="39">
        <v>45197.0</v>
      </c>
      <c r="B91" s="4" t="s">
        <v>209</v>
      </c>
      <c r="C91" s="21">
        <v>4.0</v>
      </c>
      <c r="E91" s="19"/>
      <c r="F91" s="5"/>
      <c r="H91" s="19"/>
    </row>
    <row r="92">
      <c r="A92" s="39">
        <v>45198.0</v>
      </c>
      <c r="B92" s="4" t="s">
        <v>127</v>
      </c>
      <c r="C92" s="21">
        <v>6.8</v>
      </c>
      <c r="E92" s="19"/>
      <c r="F92" s="5"/>
      <c r="H92" s="19"/>
    </row>
    <row r="93">
      <c r="A93" s="39">
        <v>45198.0</v>
      </c>
      <c r="B93" s="4" t="s">
        <v>140</v>
      </c>
      <c r="C93" s="21">
        <v>5.7</v>
      </c>
      <c r="E93" s="19"/>
      <c r="F93" s="5"/>
      <c r="H93" s="19"/>
    </row>
    <row r="94">
      <c r="A94" s="39">
        <v>45199.0</v>
      </c>
      <c r="B94" s="4" t="s">
        <v>45</v>
      </c>
      <c r="C94" s="21">
        <v>13.5</v>
      </c>
      <c r="E94" s="19"/>
      <c r="F94" s="5"/>
      <c r="H94" s="19"/>
    </row>
    <row r="95">
      <c r="A95" s="39">
        <v>45199.0</v>
      </c>
      <c r="B95" s="4" t="s">
        <v>127</v>
      </c>
      <c r="C95" s="21">
        <v>8.1</v>
      </c>
      <c r="E95" s="19"/>
      <c r="F95" s="5"/>
      <c r="H95" s="19"/>
    </row>
    <row r="96">
      <c r="A96" s="39">
        <v>45199.0</v>
      </c>
      <c r="B96" s="4" t="s">
        <v>45</v>
      </c>
      <c r="C96" s="21">
        <v>20.0</v>
      </c>
      <c r="E96" s="19"/>
      <c r="F96" s="5"/>
      <c r="H96" s="19"/>
    </row>
    <row r="97">
      <c r="A97" s="39">
        <v>45199.0</v>
      </c>
      <c r="B97" s="4" t="s">
        <v>47</v>
      </c>
      <c r="C97" s="21">
        <v>2.25</v>
      </c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1">
    <cfRule type="cellIs" dxfId="3" priority="3" operator="greaterThan">
      <formula>0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206.57</v>
      </c>
      <c r="H1" s="1" t="s">
        <v>46</v>
      </c>
      <c r="I1" s="5">
        <f>I5-I6</f>
        <v>-24.19</v>
      </c>
      <c r="J1" s="19"/>
      <c r="K1" s="1" t="s">
        <v>47</v>
      </c>
      <c r="L1" s="5">
        <f t="shared" ref="L1:L4" si="1">SUMIF(B:B,K1,C:I)</f>
        <v>152.55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45139.0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61.46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48.88</v>
      </c>
      <c r="N2" s="39">
        <v>45139.0</v>
      </c>
      <c r="O2" s="5">
        <f>sumif(A:A,N2,C:C)-SUM(C2,C3,C4,C5)</f>
        <v>21.46</v>
      </c>
      <c r="P2" s="5">
        <f>SUM(O2)</f>
        <v>21.46</v>
      </c>
    </row>
    <row r="3">
      <c r="A3" s="39">
        <v>45139.0</v>
      </c>
      <c r="B3" s="4" t="s">
        <v>6</v>
      </c>
      <c r="C3" s="21">
        <v>250.0</v>
      </c>
      <c r="E3" s="1" t="s">
        <v>209</v>
      </c>
      <c r="F3" s="5">
        <f>SUMIF(B:B,"Pret",C:C)+SUMIF(B:B,"Breakfast",C:C)</f>
        <v>24.37</v>
      </c>
      <c r="H3" s="1" t="s">
        <v>8</v>
      </c>
      <c r="I3" s="5">
        <f>SUMIF(B:B,H3,C:C)+I1</f>
        <v>225.81</v>
      </c>
      <c r="K3" s="1" t="s">
        <v>56</v>
      </c>
      <c r="L3" s="5">
        <f t="shared" si="1"/>
        <v>5.55</v>
      </c>
      <c r="N3" s="39">
        <v>45140.0</v>
      </c>
      <c r="O3" s="40">
        <f t="shared" ref="O3:O4" si="2">sumif(A:A,N3,C:C)</f>
        <v>4.99</v>
      </c>
      <c r="P3" s="5">
        <f t="shared" ref="P3:P32" si="3">P2+O3</f>
        <v>26.45</v>
      </c>
    </row>
    <row r="4">
      <c r="A4" s="39">
        <v>45139.0</v>
      </c>
      <c r="B4" s="4" t="s">
        <v>54</v>
      </c>
      <c r="C4" s="41">
        <v>1055.0</v>
      </c>
      <c r="E4" s="1" t="s">
        <v>140</v>
      </c>
      <c r="F4" s="5">
        <f>SUMIF(B:B,E4,C:C)</f>
        <v>30.98</v>
      </c>
      <c r="K4" s="1" t="s">
        <v>59</v>
      </c>
      <c r="L4" s="5">
        <f t="shared" si="1"/>
        <v>53.71</v>
      </c>
      <c r="N4" s="39">
        <v>45141.0</v>
      </c>
      <c r="O4" s="40">
        <f t="shared" si="2"/>
        <v>31.66</v>
      </c>
      <c r="P4" s="5">
        <f t="shared" si="3"/>
        <v>58.11</v>
      </c>
    </row>
    <row r="5">
      <c r="A5" s="39">
        <v>45139.0</v>
      </c>
      <c r="B5" s="4" t="s">
        <v>252</v>
      </c>
      <c r="C5" s="21">
        <v>40.81</v>
      </c>
      <c r="H5" s="1" t="s">
        <v>65</v>
      </c>
      <c r="I5" s="49">
        <v>2720.5</v>
      </c>
      <c r="N5" s="39">
        <v>45142.0</v>
      </c>
      <c r="O5" s="5">
        <f>sumif(A:A,N5,C:C)-C10</f>
        <v>32.35</v>
      </c>
      <c r="P5" s="5">
        <f t="shared" si="3"/>
        <v>90.46</v>
      </c>
    </row>
    <row r="6">
      <c r="A6" s="39">
        <v>45139.0</v>
      </c>
      <c r="B6" s="4" t="s">
        <v>47</v>
      </c>
      <c r="C6" s="21">
        <v>21.46</v>
      </c>
      <c r="E6" s="1" t="s">
        <v>57</v>
      </c>
      <c r="F6" s="5">
        <f>sum(L:L)</f>
        <v>260.69</v>
      </c>
      <c r="H6" s="1" t="s">
        <v>68</v>
      </c>
      <c r="I6" s="5">
        <f>sum(C:C)</f>
        <v>2744.69</v>
      </c>
      <c r="N6" s="39">
        <v>45143.0</v>
      </c>
      <c r="O6" s="40">
        <f t="shared" ref="O6:O8" si="4">sumif(A:A,N6,C:C)</f>
        <v>83.97</v>
      </c>
      <c r="P6" s="5">
        <f t="shared" si="3"/>
        <v>174.43</v>
      </c>
    </row>
    <row r="7">
      <c r="A7" s="50">
        <v>45140.0</v>
      </c>
      <c r="B7" s="4" t="s">
        <v>230</v>
      </c>
      <c r="C7" s="4">
        <v>4.99</v>
      </c>
      <c r="E7" s="42" t="s">
        <v>61</v>
      </c>
      <c r="F7" s="5">
        <f>SUMIF(B:B,"Games",C:C)+SUMIF(B:B,"Spotify",C:C)+SUMIF(B:B,"Disney+",C:C)+SUMIF(B:B,"Book",C:C)+SUMIF(B:B,"Audible",C:C)</f>
        <v>15.98</v>
      </c>
      <c r="H7" s="1" t="s">
        <v>72</v>
      </c>
      <c r="I7" s="5">
        <f>sum(F:F)+I2+I3</f>
        <v>2370.54</v>
      </c>
      <c r="N7" s="39">
        <v>45144.0</v>
      </c>
      <c r="O7" s="40">
        <f t="shared" si="4"/>
        <v>7.4</v>
      </c>
      <c r="P7" s="5">
        <f t="shared" si="3"/>
        <v>181.83</v>
      </c>
    </row>
    <row r="8">
      <c r="A8" s="50">
        <v>45141.0</v>
      </c>
      <c r="B8" s="4" t="s">
        <v>230</v>
      </c>
      <c r="C8" s="21">
        <v>10.99</v>
      </c>
      <c r="E8" s="1" t="s">
        <v>64</v>
      </c>
      <c r="F8" s="5">
        <f>SUMIF(B:B,E8,C:C)+SUMIF(B:B,"Shoes",C:C)</f>
        <v>0</v>
      </c>
      <c r="H8" s="1" t="s">
        <v>74</v>
      </c>
      <c r="I8" s="5">
        <f>I6-I7</f>
        <v>374.15</v>
      </c>
      <c r="N8" s="39">
        <v>45145.0</v>
      </c>
      <c r="O8" s="40">
        <f t="shared" si="4"/>
        <v>13.35</v>
      </c>
      <c r="P8" s="5">
        <f t="shared" si="3"/>
        <v>195.18</v>
      </c>
    </row>
    <row r="9">
      <c r="A9" s="50">
        <v>45141.0</v>
      </c>
      <c r="B9" s="4" t="s">
        <v>59</v>
      </c>
      <c r="C9" s="21">
        <v>20.67</v>
      </c>
      <c r="E9" s="1" t="s">
        <v>54</v>
      </c>
      <c r="F9" s="5">
        <f>SUMIF(B:B,E9,C:C)+SUMIF(B:B,"Phone",C:C)</f>
        <v>1125.81</v>
      </c>
      <c r="H9" s="1"/>
      <c r="N9" s="39">
        <v>45146.0</v>
      </c>
      <c r="O9" s="5">
        <f>sumif(A:A,N9,C:C)-C23</f>
        <v>30.05</v>
      </c>
      <c r="P9" s="5">
        <f t="shared" si="3"/>
        <v>225.23</v>
      </c>
    </row>
    <row r="10">
      <c r="A10" s="50">
        <v>45142.0</v>
      </c>
      <c r="B10" s="4" t="s">
        <v>360</v>
      </c>
      <c r="C10" s="21">
        <v>49.5</v>
      </c>
      <c r="E10" s="1" t="s">
        <v>127</v>
      </c>
      <c r="F10" s="5">
        <f>SUMIF(B:B,E10,C:C)</f>
        <v>53.4</v>
      </c>
      <c r="H10" s="53" t="s">
        <v>3</v>
      </c>
      <c r="I10" s="54">
        <f>(I3+I2)/I5</f>
        <v>0.1748979967</v>
      </c>
      <c r="N10" s="39">
        <v>45147.0</v>
      </c>
      <c r="O10" s="40">
        <f t="shared" ref="O10:O23" si="5">sumif(A:A,N10,C:C)</f>
        <v>56.32</v>
      </c>
      <c r="P10" s="5">
        <f t="shared" si="3"/>
        <v>281.55</v>
      </c>
    </row>
    <row r="11">
      <c r="A11" s="50">
        <v>45142.0</v>
      </c>
      <c r="B11" s="4" t="s">
        <v>53</v>
      </c>
      <c r="C11" s="21">
        <v>13.88</v>
      </c>
      <c r="E11" s="1" t="s">
        <v>164</v>
      </c>
      <c r="F11" s="48">
        <f>SUMIF(B:B,"Cigs",C:C)</f>
        <v>66.24</v>
      </c>
      <c r="N11" s="39">
        <v>45148.0</v>
      </c>
      <c r="O11" s="40">
        <f t="shared" si="5"/>
        <v>9.79</v>
      </c>
      <c r="P11" s="5">
        <f t="shared" si="3"/>
        <v>291.34</v>
      </c>
    </row>
    <row r="12">
      <c r="A12" s="50">
        <v>45142.0</v>
      </c>
      <c r="B12" s="4" t="s">
        <v>52</v>
      </c>
      <c r="C12" s="21">
        <v>18.47</v>
      </c>
      <c r="E12" s="1" t="s">
        <v>73</v>
      </c>
      <c r="F12" s="5">
        <f>SUMIF(B:B,"Uber",C:C)</f>
        <v>43.74</v>
      </c>
      <c r="N12" s="39">
        <v>45149.0</v>
      </c>
      <c r="O12" s="40">
        <f t="shared" si="5"/>
        <v>42.95</v>
      </c>
      <c r="P12" s="5">
        <f t="shared" si="3"/>
        <v>334.29</v>
      </c>
    </row>
    <row r="13">
      <c r="A13" s="50">
        <v>45143.0</v>
      </c>
      <c r="B13" s="4" t="s">
        <v>45</v>
      </c>
      <c r="C13" s="21">
        <v>15.0</v>
      </c>
      <c r="E13" s="1" t="s">
        <v>75</v>
      </c>
      <c r="F13" s="40">
        <f>SUMIF(B:B,"Gym",C:C)+SUMIF(B:B,"Climbing",C:C)</f>
        <v>5.49</v>
      </c>
      <c r="N13" s="39">
        <v>45150.0</v>
      </c>
      <c r="O13" s="40">
        <f t="shared" si="5"/>
        <v>1.65</v>
      </c>
      <c r="P13" s="5">
        <f t="shared" si="3"/>
        <v>335.94</v>
      </c>
    </row>
    <row r="14">
      <c r="A14" s="50">
        <v>45143.0</v>
      </c>
      <c r="B14" s="4" t="s">
        <v>298</v>
      </c>
      <c r="C14" s="21">
        <v>7.0</v>
      </c>
      <c r="H14" s="19"/>
      <c r="N14" s="39">
        <v>45151.0</v>
      </c>
      <c r="O14" s="40">
        <f t="shared" si="5"/>
        <v>26.19</v>
      </c>
      <c r="P14" s="5">
        <f t="shared" si="3"/>
        <v>362.13</v>
      </c>
    </row>
    <row r="15">
      <c r="A15" s="50">
        <v>45143.0</v>
      </c>
      <c r="B15" s="4" t="s">
        <v>127</v>
      </c>
      <c r="C15" s="21">
        <v>2.8</v>
      </c>
      <c r="H15" s="19"/>
      <c r="N15" s="39">
        <v>45152.0</v>
      </c>
      <c r="O15" s="40">
        <f t="shared" si="5"/>
        <v>22.88</v>
      </c>
      <c r="P15" s="5">
        <f t="shared" si="3"/>
        <v>385.01</v>
      </c>
    </row>
    <row r="16">
      <c r="A16" s="50">
        <v>45143.0</v>
      </c>
      <c r="B16" s="4" t="s">
        <v>164</v>
      </c>
      <c r="C16" s="21">
        <v>22.3</v>
      </c>
      <c r="H16" s="19"/>
      <c r="N16" s="39">
        <v>45153.0</v>
      </c>
      <c r="O16" s="40">
        <f t="shared" si="5"/>
        <v>4.85</v>
      </c>
      <c r="P16" s="5">
        <f t="shared" si="3"/>
        <v>389.86</v>
      </c>
    </row>
    <row r="17">
      <c r="A17" s="50">
        <v>45143.0</v>
      </c>
      <c r="B17" s="4" t="s">
        <v>45</v>
      </c>
      <c r="C17" s="21">
        <f>16.15-5.5</f>
        <v>10.65</v>
      </c>
      <c r="H17" s="19"/>
      <c r="N17" s="39">
        <v>45154.0</v>
      </c>
      <c r="O17" s="40">
        <f t="shared" si="5"/>
        <v>0</v>
      </c>
      <c r="P17" s="5">
        <f t="shared" si="3"/>
        <v>389.86</v>
      </c>
    </row>
    <row r="18">
      <c r="A18" s="50">
        <v>45143.0</v>
      </c>
      <c r="B18" s="4" t="s">
        <v>45</v>
      </c>
      <c r="C18" s="21">
        <f>12.45+10.5</f>
        <v>22.95</v>
      </c>
      <c r="H18" s="19"/>
      <c r="N18" s="39">
        <v>45155.0</v>
      </c>
      <c r="O18" s="40">
        <f t="shared" si="5"/>
        <v>96.18</v>
      </c>
      <c r="P18" s="5">
        <f t="shared" si="3"/>
        <v>486.04</v>
      </c>
    </row>
    <row r="19">
      <c r="A19" s="50">
        <v>45143.0</v>
      </c>
      <c r="B19" s="4" t="s">
        <v>69</v>
      </c>
      <c r="C19" s="21">
        <v>3.27</v>
      </c>
      <c r="H19" s="19"/>
      <c r="N19" s="39">
        <v>45156.0</v>
      </c>
      <c r="O19" s="40">
        <f t="shared" si="5"/>
        <v>16.41</v>
      </c>
      <c r="P19" s="5">
        <f t="shared" si="3"/>
        <v>502.45</v>
      </c>
    </row>
    <row r="20">
      <c r="A20" s="50">
        <v>45144.0</v>
      </c>
      <c r="B20" s="4" t="s">
        <v>127</v>
      </c>
      <c r="C20" s="4">
        <v>7.4</v>
      </c>
      <c r="H20" s="19"/>
      <c r="N20" s="39">
        <v>45157.0</v>
      </c>
      <c r="O20" s="40">
        <f t="shared" si="5"/>
        <v>32.05</v>
      </c>
      <c r="P20" s="5">
        <f t="shared" si="3"/>
        <v>534.5</v>
      </c>
    </row>
    <row r="21">
      <c r="A21" s="50">
        <v>45145.0</v>
      </c>
      <c r="B21" s="4" t="s">
        <v>127</v>
      </c>
      <c r="C21" s="21">
        <v>2.8</v>
      </c>
      <c r="E21" s="19"/>
      <c r="F21" s="5"/>
      <c r="H21" s="19"/>
      <c r="N21" s="39">
        <v>45158.0</v>
      </c>
      <c r="O21" s="40">
        <f t="shared" si="5"/>
        <v>30</v>
      </c>
      <c r="P21" s="5">
        <f t="shared" si="3"/>
        <v>564.5</v>
      </c>
    </row>
    <row r="22">
      <c r="A22" s="50">
        <v>45145.0</v>
      </c>
      <c r="B22" s="4" t="s">
        <v>47</v>
      </c>
      <c r="C22" s="21">
        <v>10.55</v>
      </c>
      <c r="E22" s="19"/>
      <c r="F22" s="5"/>
      <c r="H22" s="19"/>
      <c r="N22" s="39">
        <v>45159.0</v>
      </c>
      <c r="O22" s="40">
        <f t="shared" si="5"/>
        <v>19.75</v>
      </c>
      <c r="P22" s="5">
        <f t="shared" si="3"/>
        <v>584.25</v>
      </c>
    </row>
    <row r="23">
      <c r="A23" s="50">
        <v>45146.0</v>
      </c>
      <c r="B23" s="4" t="s">
        <v>459</v>
      </c>
      <c r="C23" s="21">
        <v>95.0</v>
      </c>
      <c r="E23" s="19"/>
      <c r="F23" s="5"/>
      <c r="H23" s="19"/>
      <c r="N23" s="39">
        <v>45160.0</v>
      </c>
      <c r="O23" s="40">
        <f t="shared" si="5"/>
        <v>18.08</v>
      </c>
      <c r="P23" s="5">
        <f t="shared" si="3"/>
        <v>602.33</v>
      </c>
    </row>
    <row r="24">
      <c r="A24" s="50">
        <v>45146.0</v>
      </c>
      <c r="B24" s="4" t="s">
        <v>47</v>
      </c>
      <c r="C24" s="21">
        <v>12.85</v>
      </c>
      <c r="E24" s="19"/>
      <c r="F24" s="5"/>
      <c r="H24" s="19"/>
      <c r="N24" s="39">
        <v>45161.0</v>
      </c>
      <c r="O24" s="5">
        <f>sumif(A:A,N24,C:C)-C61</f>
        <v>15.55</v>
      </c>
      <c r="P24" s="5">
        <f t="shared" si="3"/>
        <v>617.88</v>
      </c>
    </row>
    <row r="25">
      <c r="A25" s="50">
        <v>45146.0</v>
      </c>
      <c r="B25" s="4" t="s">
        <v>460</v>
      </c>
      <c r="C25" s="21">
        <v>17.2</v>
      </c>
      <c r="E25" s="19"/>
      <c r="F25" s="5"/>
      <c r="H25" s="19"/>
      <c r="N25" s="39">
        <v>45162.0</v>
      </c>
      <c r="O25" s="40">
        <f t="shared" ref="O25:O32" si="6">sumif(A:A,N25,C:C)</f>
        <v>45.7</v>
      </c>
      <c r="P25" s="5">
        <f t="shared" si="3"/>
        <v>663.58</v>
      </c>
    </row>
    <row r="26">
      <c r="A26" s="50">
        <v>45147.0</v>
      </c>
      <c r="B26" s="4" t="s">
        <v>302</v>
      </c>
      <c r="C26" s="21">
        <v>25.15</v>
      </c>
      <c r="E26" s="19"/>
      <c r="F26" s="5"/>
      <c r="H26" s="19"/>
      <c r="N26" s="39">
        <v>45163.0</v>
      </c>
      <c r="O26" s="40">
        <f t="shared" si="6"/>
        <v>78.48</v>
      </c>
      <c r="P26" s="5">
        <f t="shared" si="3"/>
        <v>742.06</v>
      </c>
    </row>
    <row r="27">
      <c r="A27" s="50">
        <v>45147.0</v>
      </c>
      <c r="B27" s="4" t="s">
        <v>59</v>
      </c>
      <c r="C27" s="21">
        <v>20.15</v>
      </c>
      <c r="E27" s="19"/>
      <c r="F27" s="5"/>
      <c r="H27" s="19"/>
      <c r="N27" s="39">
        <v>45164.0</v>
      </c>
      <c r="O27" s="40">
        <f t="shared" si="6"/>
        <v>85.85</v>
      </c>
      <c r="P27" s="5">
        <f t="shared" si="3"/>
        <v>827.91</v>
      </c>
    </row>
    <row r="28">
      <c r="A28" s="50">
        <v>45147.0</v>
      </c>
      <c r="B28" s="4" t="s">
        <v>53</v>
      </c>
      <c r="C28" s="21">
        <v>11.02</v>
      </c>
      <c r="E28" s="19"/>
      <c r="F28" s="5"/>
      <c r="H28" s="19"/>
      <c r="N28" s="39">
        <v>45165.0</v>
      </c>
      <c r="O28" s="40">
        <f t="shared" si="6"/>
        <v>60.94</v>
      </c>
      <c r="P28" s="5">
        <f t="shared" si="3"/>
        <v>888.85</v>
      </c>
    </row>
    <row r="29">
      <c r="A29" s="50">
        <v>45148.0</v>
      </c>
      <c r="B29" s="4" t="s">
        <v>429</v>
      </c>
      <c r="C29" s="21">
        <v>1.0</v>
      </c>
      <c r="E29" s="19"/>
      <c r="F29" s="5"/>
      <c r="H29" s="19"/>
      <c r="N29" s="39">
        <v>45166.0</v>
      </c>
      <c r="O29" s="40">
        <f t="shared" si="6"/>
        <v>14.3</v>
      </c>
      <c r="P29" s="5">
        <f t="shared" si="3"/>
        <v>903.15</v>
      </c>
    </row>
    <row r="30">
      <c r="A30" s="50">
        <v>45148.0</v>
      </c>
      <c r="B30" s="4" t="s">
        <v>209</v>
      </c>
      <c r="C30" s="21">
        <v>5.29</v>
      </c>
      <c r="E30" s="19"/>
      <c r="F30" s="5"/>
      <c r="H30" s="19"/>
      <c r="N30" s="39">
        <v>45167.0</v>
      </c>
      <c r="O30" s="40">
        <f t="shared" si="6"/>
        <v>7.65</v>
      </c>
      <c r="P30" s="5">
        <f t="shared" si="3"/>
        <v>910.8</v>
      </c>
    </row>
    <row r="31">
      <c r="A31" s="50">
        <v>45148.0</v>
      </c>
      <c r="B31" s="4" t="s">
        <v>56</v>
      </c>
      <c r="C31" s="21">
        <v>3.5</v>
      </c>
      <c r="E31" s="19"/>
      <c r="F31" s="5"/>
      <c r="H31" s="19"/>
      <c r="N31" s="39">
        <v>45168.0</v>
      </c>
      <c r="O31" s="40">
        <f t="shared" si="6"/>
        <v>43.05</v>
      </c>
      <c r="P31" s="5">
        <f t="shared" si="3"/>
        <v>953.85</v>
      </c>
    </row>
    <row r="32">
      <c r="A32" s="50">
        <v>45149.0</v>
      </c>
      <c r="B32" s="4" t="s">
        <v>45</v>
      </c>
      <c r="C32" s="21">
        <v>7.0</v>
      </c>
      <c r="E32" s="19"/>
      <c r="F32" s="5"/>
      <c r="H32" s="19"/>
      <c r="N32" s="39">
        <v>45169.0</v>
      </c>
      <c r="O32" s="40">
        <f t="shared" si="6"/>
        <v>25.53</v>
      </c>
      <c r="P32" s="5">
        <f t="shared" si="3"/>
        <v>979.38</v>
      </c>
    </row>
    <row r="33">
      <c r="A33" s="50">
        <v>45149.0</v>
      </c>
      <c r="B33" s="4" t="s">
        <v>127</v>
      </c>
      <c r="C33" s="21">
        <v>6.8</v>
      </c>
      <c r="E33" s="19"/>
      <c r="F33" s="5"/>
      <c r="H33" s="19"/>
      <c r="N33" s="39"/>
    </row>
    <row r="34">
      <c r="A34" s="50">
        <v>45151.0</v>
      </c>
      <c r="B34" s="4" t="s">
        <v>127</v>
      </c>
      <c r="C34" s="21">
        <v>1.9</v>
      </c>
      <c r="E34" s="19"/>
      <c r="F34" s="5"/>
      <c r="H34" s="19"/>
    </row>
    <row r="35">
      <c r="A35" s="50">
        <v>45149.0</v>
      </c>
      <c r="B35" s="4" t="s">
        <v>45</v>
      </c>
      <c r="C35" s="21">
        <v>9.5</v>
      </c>
      <c r="E35" s="19"/>
      <c r="F35" s="5"/>
      <c r="H35" s="19"/>
    </row>
    <row r="36">
      <c r="A36" s="50">
        <v>45149.0</v>
      </c>
      <c r="B36" s="4" t="s">
        <v>45</v>
      </c>
      <c r="C36" s="41">
        <v>5.95</v>
      </c>
      <c r="E36" s="19"/>
      <c r="F36" s="5"/>
      <c r="H36" s="19"/>
    </row>
    <row r="37">
      <c r="A37" s="50">
        <v>45149.0</v>
      </c>
      <c r="B37" s="4" t="s">
        <v>45</v>
      </c>
      <c r="C37" s="21">
        <v>5.95</v>
      </c>
      <c r="E37" s="19"/>
      <c r="F37" s="5"/>
      <c r="H37" s="19"/>
    </row>
    <row r="38">
      <c r="A38" s="50">
        <v>45149.0</v>
      </c>
      <c r="B38" s="4" t="s">
        <v>47</v>
      </c>
      <c r="C38" s="21">
        <v>7.75</v>
      </c>
      <c r="E38" s="19"/>
      <c r="F38" s="5"/>
      <c r="H38" s="19"/>
    </row>
    <row r="39">
      <c r="A39" s="50">
        <v>45150.0</v>
      </c>
      <c r="B39" s="4" t="s">
        <v>47</v>
      </c>
      <c r="C39" s="21">
        <v>1.65</v>
      </c>
      <c r="E39" s="19"/>
      <c r="F39" s="5"/>
      <c r="H39" s="19"/>
    </row>
    <row r="40">
      <c r="A40" s="50">
        <v>45151.0</v>
      </c>
      <c r="B40" s="4" t="s">
        <v>47</v>
      </c>
      <c r="C40" s="21">
        <v>12.3</v>
      </c>
      <c r="E40" s="19"/>
      <c r="F40" s="5"/>
      <c r="H40" s="19"/>
    </row>
    <row r="41">
      <c r="A41" s="50">
        <v>45151.0</v>
      </c>
      <c r="B41" s="4" t="s">
        <v>418</v>
      </c>
      <c r="C41" s="4">
        <v>11.99</v>
      </c>
      <c r="E41" s="19"/>
      <c r="F41" s="5"/>
      <c r="H41" s="19"/>
    </row>
    <row r="42">
      <c r="A42" s="50">
        <v>45152.0</v>
      </c>
      <c r="B42" s="4" t="s">
        <v>253</v>
      </c>
      <c r="C42" s="21">
        <v>5.49</v>
      </c>
      <c r="E42" s="19"/>
      <c r="F42" s="5"/>
      <c r="H42" s="19"/>
    </row>
    <row r="43">
      <c r="A43" s="50">
        <v>45152.0</v>
      </c>
      <c r="B43" s="4" t="s">
        <v>127</v>
      </c>
      <c r="C43" s="21">
        <v>1.9</v>
      </c>
      <c r="E43" s="19"/>
      <c r="F43" s="5"/>
      <c r="H43" s="19"/>
    </row>
    <row r="44">
      <c r="A44" s="50">
        <v>45152.0</v>
      </c>
      <c r="B44" s="4" t="s">
        <v>53</v>
      </c>
      <c r="C44" s="21">
        <v>15.49</v>
      </c>
      <c r="E44" s="19"/>
      <c r="F44" s="5"/>
      <c r="H44" s="19"/>
    </row>
    <row r="45">
      <c r="A45" s="50">
        <v>45153.0</v>
      </c>
      <c r="B45" s="4" t="s">
        <v>47</v>
      </c>
      <c r="C45" s="21">
        <v>4.85</v>
      </c>
      <c r="E45" s="19"/>
      <c r="F45" s="5"/>
      <c r="H45" s="19"/>
    </row>
    <row r="46">
      <c r="A46" s="50">
        <v>45155.0</v>
      </c>
      <c r="B46" s="4" t="s">
        <v>45</v>
      </c>
      <c r="C46" s="21">
        <v>5.69</v>
      </c>
      <c r="E46" s="19"/>
      <c r="F46" s="5"/>
      <c r="H46" s="19"/>
    </row>
    <row r="47">
      <c r="A47" s="50">
        <v>45155.0</v>
      </c>
      <c r="B47" s="4" t="s">
        <v>164</v>
      </c>
      <c r="C47" s="21">
        <v>17.19</v>
      </c>
      <c r="E47" s="19"/>
      <c r="F47" s="5"/>
      <c r="H47" s="19"/>
    </row>
    <row r="48">
      <c r="A48" s="50">
        <v>45155.0</v>
      </c>
      <c r="B48" s="4" t="s">
        <v>140</v>
      </c>
      <c r="C48" s="21">
        <v>12.5</v>
      </c>
      <c r="E48" s="19"/>
      <c r="F48" s="5"/>
      <c r="H48" s="19"/>
    </row>
    <row r="49">
      <c r="A49" s="50">
        <v>45155.0</v>
      </c>
      <c r="B49" s="4" t="s">
        <v>209</v>
      </c>
      <c r="C49" s="21">
        <v>4.25</v>
      </c>
      <c r="E49" s="19"/>
      <c r="F49" s="5"/>
      <c r="H49" s="19"/>
    </row>
    <row r="50">
      <c r="A50" s="50">
        <v>45155.0</v>
      </c>
      <c r="B50" s="4" t="s">
        <v>127</v>
      </c>
      <c r="C50" s="21">
        <v>6.8</v>
      </c>
      <c r="E50" s="19"/>
      <c r="F50" s="5"/>
      <c r="H50" s="19"/>
    </row>
    <row r="51">
      <c r="A51" s="50">
        <v>45155.0</v>
      </c>
      <c r="B51" s="4" t="s">
        <v>45</v>
      </c>
      <c r="C51" s="21">
        <f>12.4+12.7+11.8</f>
        <v>36.9</v>
      </c>
      <c r="E51" s="19"/>
      <c r="F51" s="5"/>
      <c r="H51" s="19"/>
    </row>
    <row r="52">
      <c r="A52" s="50">
        <v>45155.0</v>
      </c>
      <c r="B52" s="4" t="s">
        <v>73</v>
      </c>
      <c r="C52" s="21">
        <v>12.85</v>
      </c>
      <c r="E52" s="19"/>
      <c r="F52" s="5"/>
      <c r="H52" s="19"/>
    </row>
    <row r="53">
      <c r="A53" s="50">
        <v>45157.0</v>
      </c>
      <c r="B53" s="4" t="s">
        <v>45</v>
      </c>
      <c r="C53" s="21">
        <v>6.9</v>
      </c>
      <c r="E53" s="19"/>
      <c r="F53" s="5"/>
      <c r="H53" s="19"/>
    </row>
    <row r="54">
      <c r="A54" s="50">
        <v>45156.0</v>
      </c>
      <c r="B54" s="4" t="s">
        <v>52</v>
      </c>
      <c r="C54" s="21">
        <v>16.41</v>
      </c>
      <c r="E54" s="19"/>
      <c r="F54" s="5"/>
      <c r="H54" s="19"/>
    </row>
    <row r="55">
      <c r="A55" s="50">
        <v>45157.0</v>
      </c>
      <c r="B55" s="4" t="s">
        <v>45</v>
      </c>
      <c r="C55" s="21">
        <v>12.9</v>
      </c>
      <c r="E55" s="19"/>
      <c r="F55" s="5"/>
      <c r="H55" s="19"/>
    </row>
    <row r="56">
      <c r="A56" s="50">
        <v>45157.0</v>
      </c>
      <c r="B56" s="4" t="s">
        <v>164</v>
      </c>
      <c r="C56" s="21">
        <v>12.25</v>
      </c>
      <c r="E56" s="19"/>
      <c r="F56" s="5"/>
      <c r="H56" s="19"/>
    </row>
    <row r="57">
      <c r="A57" s="50">
        <v>45158.0</v>
      </c>
      <c r="B57" s="4" t="s">
        <v>54</v>
      </c>
      <c r="C57" s="21">
        <v>30.0</v>
      </c>
      <c r="E57" s="19"/>
      <c r="F57" s="5"/>
      <c r="H57" s="19"/>
    </row>
    <row r="58">
      <c r="A58" s="50">
        <v>45159.0</v>
      </c>
      <c r="B58" s="4" t="s">
        <v>47</v>
      </c>
      <c r="C58" s="21">
        <v>19.75</v>
      </c>
      <c r="E58" s="19"/>
      <c r="F58" s="5"/>
      <c r="H58" s="19"/>
    </row>
    <row r="59">
      <c r="A59" s="50">
        <v>45161.0</v>
      </c>
      <c r="B59" s="4" t="s">
        <v>267</v>
      </c>
      <c r="C59" s="21">
        <v>2.95</v>
      </c>
      <c r="E59" s="19"/>
      <c r="F59" s="5"/>
      <c r="H59" s="19"/>
    </row>
    <row r="60">
      <c r="A60" s="50">
        <v>45160.0</v>
      </c>
      <c r="B60" s="4" t="s">
        <v>52</v>
      </c>
      <c r="C60" s="43">
        <v>12.28</v>
      </c>
      <c r="E60" s="19"/>
      <c r="F60" s="5"/>
      <c r="H60" s="19"/>
    </row>
    <row r="61">
      <c r="A61" s="50">
        <v>45161.0</v>
      </c>
      <c r="B61" s="4" t="s">
        <v>461</v>
      </c>
      <c r="C61" s="21">
        <v>25.0</v>
      </c>
      <c r="E61" s="19"/>
      <c r="F61" s="5"/>
      <c r="H61" s="19"/>
    </row>
    <row r="62">
      <c r="A62" s="50">
        <v>45163.0</v>
      </c>
      <c r="B62" s="4" t="s">
        <v>127</v>
      </c>
      <c r="C62" s="21">
        <v>6.8</v>
      </c>
      <c r="E62" s="19"/>
      <c r="F62" s="5"/>
      <c r="H62" s="19"/>
    </row>
    <row r="63">
      <c r="A63" s="50">
        <v>45163.0</v>
      </c>
      <c r="B63" s="4" t="s">
        <v>164</v>
      </c>
      <c r="C63" s="21">
        <v>14.5</v>
      </c>
      <c r="E63" s="19"/>
      <c r="F63" s="5"/>
      <c r="H63" s="19"/>
    </row>
    <row r="64">
      <c r="A64" s="50">
        <v>45163.0</v>
      </c>
      <c r="B64" s="4" t="s">
        <v>45</v>
      </c>
      <c r="C64" s="21">
        <v>8.0</v>
      </c>
      <c r="E64" s="19"/>
      <c r="F64" s="5"/>
      <c r="H64" s="19"/>
    </row>
    <row r="65">
      <c r="A65" s="50">
        <v>45160.0</v>
      </c>
      <c r="B65" s="4" t="s">
        <v>47</v>
      </c>
      <c r="C65" s="21">
        <v>5.8</v>
      </c>
      <c r="E65" s="19"/>
      <c r="F65" s="5"/>
      <c r="H65" s="19"/>
    </row>
    <row r="66">
      <c r="A66" s="50">
        <v>45161.0</v>
      </c>
      <c r="B66" s="4" t="s">
        <v>47</v>
      </c>
      <c r="C66" s="21">
        <v>12.6</v>
      </c>
      <c r="E66" s="19"/>
      <c r="F66" s="5"/>
      <c r="H66" s="19"/>
    </row>
    <row r="67">
      <c r="A67" s="50">
        <v>45162.0</v>
      </c>
      <c r="B67" s="4" t="s">
        <v>59</v>
      </c>
      <c r="C67" s="21">
        <v>12.89</v>
      </c>
      <c r="E67" s="19"/>
      <c r="F67" s="5"/>
      <c r="H67" s="19"/>
    </row>
    <row r="68">
      <c r="A68" s="50">
        <v>45162.0</v>
      </c>
      <c r="B68" s="4" t="s">
        <v>259</v>
      </c>
      <c r="C68" s="21">
        <v>18.74</v>
      </c>
      <c r="E68" s="19"/>
      <c r="F68" s="5"/>
      <c r="H68" s="19"/>
    </row>
    <row r="69">
      <c r="A69" s="50">
        <v>45162.0</v>
      </c>
      <c r="B69" s="4" t="s">
        <v>56</v>
      </c>
      <c r="C69" s="21">
        <v>1.3</v>
      </c>
      <c r="E69" s="19"/>
      <c r="F69" s="5"/>
      <c r="H69" s="19"/>
    </row>
    <row r="70">
      <c r="A70" s="50">
        <v>45162.0</v>
      </c>
      <c r="B70" s="4" t="s">
        <v>140</v>
      </c>
      <c r="C70" s="21">
        <v>7.48</v>
      </c>
      <c r="E70" s="19"/>
      <c r="F70" s="5"/>
      <c r="H70" s="19"/>
    </row>
    <row r="71">
      <c r="A71" s="50">
        <v>45162.0</v>
      </c>
      <c r="B71" s="4" t="s">
        <v>209</v>
      </c>
      <c r="C71" s="21">
        <v>5.29</v>
      </c>
      <c r="E71" s="19"/>
      <c r="F71" s="5"/>
      <c r="H71" s="19"/>
    </row>
    <row r="72">
      <c r="A72" s="50">
        <v>45163.0</v>
      </c>
      <c r="B72" s="4" t="s">
        <v>45</v>
      </c>
      <c r="C72" s="21">
        <v>6.3</v>
      </c>
      <c r="E72" s="19"/>
      <c r="F72" s="5"/>
      <c r="H72" s="19"/>
    </row>
    <row r="73">
      <c r="A73" s="50">
        <v>45163.0</v>
      </c>
      <c r="B73" s="4" t="s">
        <v>45</v>
      </c>
      <c r="C73" s="21">
        <v>6.3</v>
      </c>
      <c r="E73" s="19"/>
      <c r="F73" s="5"/>
      <c r="H73" s="19"/>
    </row>
    <row r="74">
      <c r="A74" s="50">
        <v>45163.0</v>
      </c>
      <c r="B74" s="4" t="s">
        <v>45</v>
      </c>
      <c r="C74" s="21">
        <v>12.4</v>
      </c>
      <c r="E74" s="19"/>
      <c r="F74" s="5"/>
      <c r="H74" s="19"/>
    </row>
    <row r="75">
      <c r="A75" s="50">
        <v>45163.0</v>
      </c>
      <c r="B75" s="4" t="s">
        <v>45</v>
      </c>
      <c r="C75" s="21">
        <v>11.78</v>
      </c>
      <c r="E75" s="19"/>
      <c r="F75" s="5"/>
      <c r="H75" s="19"/>
    </row>
    <row r="76">
      <c r="A76" s="50">
        <v>45163.0</v>
      </c>
      <c r="B76" s="4" t="s">
        <v>45</v>
      </c>
      <c r="C76" s="21">
        <v>12.4</v>
      </c>
      <c r="E76" s="19"/>
      <c r="F76" s="5"/>
      <c r="H76" s="19"/>
    </row>
    <row r="77">
      <c r="A77" s="50">
        <v>45164.0</v>
      </c>
      <c r="B77" s="4" t="s">
        <v>127</v>
      </c>
      <c r="C77" s="21">
        <v>5.6</v>
      </c>
      <c r="E77" s="19"/>
      <c r="F77" s="5"/>
      <c r="H77" s="19"/>
    </row>
    <row r="78">
      <c r="A78" s="50">
        <v>45165.0</v>
      </c>
      <c r="B78" s="4" t="s">
        <v>127</v>
      </c>
      <c r="C78" s="21">
        <v>3.8</v>
      </c>
      <c r="E78" s="19"/>
      <c r="F78" s="5"/>
      <c r="H78" s="19"/>
    </row>
    <row r="79">
      <c r="A79" s="50">
        <v>45164.0</v>
      </c>
      <c r="B79" s="4" t="s">
        <v>47</v>
      </c>
      <c r="C79" s="21">
        <v>3.75</v>
      </c>
      <c r="E79" s="19"/>
      <c r="F79" s="5"/>
      <c r="H79" s="19"/>
    </row>
    <row r="80">
      <c r="A80" s="50">
        <v>45164.0</v>
      </c>
      <c r="B80" s="4" t="s">
        <v>259</v>
      </c>
      <c r="C80" s="21">
        <v>76.5</v>
      </c>
      <c r="E80" s="19"/>
      <c r="F80" s="5"/>
      <c r="H80" s="19"/>
    </row>
    <row r="81">
      <c r="A81" s="50">
        <v>45165.0</v>
      </c>
      <c r="B81" s="4" t="s">
        <v>73</v>
      </c>
      <c r="C81" s="21">
        <v>14.94</v>
      </c>
      <c r="E81" s="19"/>
      <c r="F81" s="5"/>
      <c r="H81" s="19"/>
    </row>
    <row r="82">
      <c r="A82" s="50">
        <v>45165.0</v>
      </c>
      <c r="B82" s="4" t="s">
        <v>47</v>
      </c>
      <c r="C82" s="21">
        <f>20.75+5.5</f>
        <v>26.25</v>
      </c>
      <c r="E82" s="19"/>
      <c r="F82" s="5"/>
      <c r="H82" s="19"/>
    </row>
    <row r="83">
      <c r="A83" s="50">
        <v>45165.0</v>
      </c>
      <c r="B83" s="4" t="s">
        <v>73</v>
      </c>
      <c r="C83" s="21">
        <v>15.95</v>
      </c>
      <c r="E83" s="19"/>
      <c r="F83" s="5"/>
      <c r="H83" s="19"/>
    </row>
    <row r="84">
      <c r="A84" s="50">
        <v>45166.0</v>
      </c>
      <c r="B84" s="4" t="s">
        <v>52</v>
      </c>
      <c r="C84" s="21">
        <v>14.3</v>
      </c>
      <c r="E84" s="19"/>
      <c r="F84" s="5"/>
      <c r="H84" s="19"/>
    </row>
    <row r="85">
      <c r="A85" s="50">
        <v>45167.0</v>
      </c>
      <c r="B85" s="4" t="s">
        <v>209</v>
      </c>
      <c r="C85" s="21">
        <v>4.25</v>
      </c>
      <c r="E85" s="19"/>
      <c r="F85" s="5"/>
      <c r="H85" s="19"/>
    </row>
    <row r="86">
      <c r="A86" s="50">
        <v>45168.0</v>
      </c>
      <c r="B86" s="4" t="s">
        <v>45</v>
      </c>
      <c r="C86" s="21">
        <v>10.0</v>
      </c>
      <c r="E86" s="19"/>
      <c r="F86" s="5"/>
      <c r="H86" s="19"/>
    </row>
    <row r="87">
      <c r="A87" s="50">
        <v>45168.0</v>
      </c>
      <c r="B87" s="4" t="s">
        <v>127</v>
      </c>
      <c r="C87" s="21">
        <v>3.4</v>
      </c>
      <c r="E87" s="19"/>
      <c r="F87" s="5"/>
      <c r="H87" s="19"/>
    </row>
    <row r="88">
      <c r="A88" s="50">
        <v>45167.0</v>
      </c>
      <c r="B88" s="4" t="s">
        <v>127</v>
      </c>
      <c r="C88" s="21">
        <v>3.4</v>
      </c>
      <c r="E88" s="19"/>
      <c r="F88" s="5"/>
      <c r="H88" s="19"/>
    </row>
    <row r="89">
      <c r="A89" s="50">
        <v>45168.0</v>
      </c>
      <c r="B89" s="4" t="s">
        <v>47</v>
      </c>
      <c r="C89" s="21">
        <v>12.99</v>
      </c>
      <c r="E89" s="19"/>
      <c r="F89" s="5"/>
      <c r="H89" s="19"/>
    </row>
    <row r="90">
      <c r="A90" s="50">
        <v>45169.0</v>
      </c>
      <c r="B90" s="4" t="s">
        <v>140</v>
      </c>
      <c r="C90" s="21">
        <v>11.0</v>
      </c>
      <c r="E90" s="19"/>
      <c r="F90" s="5"/>
      <c r="H90" s="19"/>
    </row>
    <row r="91">
      <c r="A91" s="50">
        <v>45169.0</v>
      </c>
      <c r="B91" s="4" t="s">
        <v>209</v>
      </c>
      <c r="C91" s="21">
        <v>5.29</v>
      </c>
      <c r="E91" s="19"/>
      <c r="F91" s="5"/>
      <c r="H91" s="19"/>
    </row>
    <row r="92">
      <c r="A92" s="50">
        <v>45169.0</v>
      </c>
      <c r="B92" s="4" t="s">
        <v>56</v>
      </c>
      <c r="C92" s="21">
        <v>0.75</v>
      </c>
      <c r="E92" s="19"/>
      <c r="F92" s="5"/>
      <c r="H92" s="19"/>
    </row>
    <row r="93">
      <c r="A93" s="50">
        <v>45169.0</v>
      </c>
      <c r="B93" s="4" t="s">
        <v>53</v>
      </c>
      <c r="C93" s="21">
        <v>8.49</v>
      </c>
      <c r="E93" s="19"/>
      <c r="F93" s="5"/>
      <c r="H93" s="19"/>
    </row>
    <row r="94">
      <c r="A94" s="50">
        <v>45168.0</v>
      </c>
      <c r="B94" s="4" t="s">
        <v>462</v>
      </c>
      <c r="C94" s="21">
        <v>16.66</v>
      </c>
      <c r="E94" s="19"/>
      <c r="F94" s="5"/>
      <c r="H94" s="19"/>
    </row>
    <row r="95">
      <c r="A95" s="39"/>
      <c r="C95" s="21"/>
      <c r="E95" s="19"/>
      <c r="F95" s="5"/>
      <c r="H95" s="19"/>
    </row>
    <row r="96">
      <c r="A96" s="39"/>
      <c r="C96" s="21"/>
      <c r="E96" s="19"/>
      <c r="F96" s="5"/>
      <c r="H96" s="19"/>
    </row>
    <row r="97">
      <c r="A97" s="39"/>
      <c r="C97" s="21"/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50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1">
    <cfRule type="cellIs" dxfId="3" priority="3" operator="greaterThan">
      <formula>0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41.15</v>
      </c>
      <c r="H1" s="1" t="s">
        <v>46</v>
      </c>
      <c r="I1" s="5">
        <f>I5-I6</f>
        <v>912.34</v>
      </c>
      <c r="J1" s="19"/>
      <c r="K1" s="1" t="s">
        <v>47</v>
      </c>
      <c r="L1" s="5">
        <f t="shared" ref="L1:L4" si="1">SUMIF(B:B,K1,C:I)</f>
        <v>93.84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45108.0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56.22</v>
      </c>
      <c r="H2" s="1" t="s">
        <v>6</v>
      </c>
      <c r="I2" s="5">
        <f>SUMIF(B:B,H2,C:C)</f>
        <v>500</v>
      </c>
      <c r="K2" s="1" t="s">
        <v>53</v>
      </c>
      <c r="L2" s="5">
        <f t="shared" si="1"/>
        <v>29.52</v>
      </c>
      <c r="N2" s="39">
        <v>45108.0</v>
      </c>
      <c r="O2" s="5">
        <f>sumif(A:A,N2,C:C)-SUM(C2,C3,C4,C5,C13,C14,C15)</f>
        <v>106.29</v>
      </c>
      <c r="P2" s="5">
        <f>SUM(O2)</f>
        <v>106.29</v>
      </c>
    </row>
    <row r="3">
      <c r="A3" s="39">
        <v>45108.0</v>
      </c>
      <c r="B3" s="4" t="s">
        <v>253</v>
      </c>
      <c r="C3" s="21">
        <v>13.0</v>
      </c>
      <c r="E3" s="1" t="s">
        <v>209</v>
      </c>
      <c r="F3" s="5">
        <f>SUMIF(B:B,"Pret",C:C)+SUMIF(B:B,"Breakfast",C:C)</f>
        <v>5.29</v>
      </c>
      <c r="H3" s="1" t="s">
        <v>8</v>
      </c>
      <c r="I3" s="5">
        <f>SUMIF(B:B,H3,C:C)+I1</f>
        <v>1162.34</v>
      </c>
      <c r="K3" s="1" t="s">
        <v>56</v>
      </c>
      <c r="L3" s="5">
        <f t="shared" si="1"/>
        <v>0</v>
      </c>
      <c r="N3" s="39">
        <v>45109.0</v>
      </c>
      <c r="O3" s="5">
        <f>sumif(A:A,N3,C:C)-C16</f>
        <v>3.25</v>
      </c>
      <c r="P3" s="5">
        <f t="shared" ref="P3:P32" si="2">P2+O3</f>
        <v>109.54</v>
      </c>
    </row>
    <row r="4">
      <c r="A4" s="39">
        <v>45108.0</v>
      </c>
      <c r="B4" s="4" t="s">
        <v>273</v>
      </c>
      <c r="C4" s="21">
        <v>173.99</v>
      </c>
      <c r="E4" s="1" t="s">
        <v>140</v>
      </c>
      <c r="F4" s="5">
        <f>SUMIF(B:B,E4,C:C)</f>
        <v>17.75</v>
      </c>
      <c r="K4" s="1" t="s">
        <v>59</v>
      </c>
      <c r="L4" s="5">
        <f t="shared" si="1"/>
        <v>39.82</v>
      </c>
      <c r="N4" s="39">
        <v>45110.0</v>
      </c>
      <c r="O4" s="40">
        <f t="shared" ref="O4:O32" si="3">sumif(A:A,N4,C:C)</f>
        <v>9.65</v>
      </c>
      <c r="P4" s="5">
        <f t="shared" si="2"/>
        <v>119.19</v>
      </c>
    </row>
    <row r="5">
      <c r="A5" s="39">
        <v>45108.0</v>
      </c>
      <c r="B5" s="4" t="s">
        <v>6</v>
      </c>
      <c r="C5" s="21">
        <v>500.0</v>
      </c>
      <c r="H5" s="1" t="s">
        <v>65</v>
      </c>
      <c r="I5" s="49">
        <v>4369.86</v>
      </c>
      <c r="N5" s="39">
        <v>45111.0</v>
      </c>
      <c r="O5" s="40">
        <f t="shared" si="3"/>
        <v>7</v>
      </c>
      <c r="P5" s="5">
        <f t="shared" si="2"/>
        <v>126.19</v>
      </c>
    </row>
    <row r="6">
      <c r="A6" s="39">
        <v>45108.0</v>
      </c>
      <c r="B6" s="4" t="s">
        <v>53</v>
      </c>
      <c r="C6" s="21">
        <v>29.52</v>
      </c>
      <c r="E6" s="1" t="s">
        <v>57</v>
      </c>
      <c r="F6" s="5">
        <f>sum(L:L)</f>
        <v>163.18</v>
      </c>
      <c r="H6" s="1" t="s">
        <v>68</v>
      </c>
      <c r="I6" s="5">
        <f>sum(C:C)</f>
        <v>3457.52</v>
      </c>
      <c r="N6" s="39">
        <v>45112.0</v>
      </c>
      <c r="O6" s="40">
        <f t="shared" si="3"/>
        <v>0</v>
      </c>
      <c r="P6" s="5">
        <f t="shared" si="2"/>
        <v>126.19</v>
      </c>
    </row>
    <row r="7">
      <c r="A7" s="39">
        <v>45108.0</v>
      </c>
      <c r="B7" s="4" t="s">
        <v>463</v>
      </c>
      <c r="C7" s="21">
        <v>20.0</v>
      </c>
      <c r="E7" s="42" t="s">
        <v>61</v>
      </c>
      <c r="F7" s="5">
        <f>SUMIF(B:B,"Games",C:C)+SUMIF(B:B,"Spotify",C:C)+SUMIF(B:B,"Disney+",C:C)+SUMIF(B:B,"Book",C:C)+SUMIF(B:B,"Audible",C:C)</f>
        <v>6.86</v>
      </c>
      <c r="H7" s="1" t="s">
        <v>72</v>
      </c>
      <c r="I7" s="5">
        <f>sum(F:F)+I2+I3</f>
        <v>3419.43</v>
      </c>
      <c r="N7" s="39">
        <v>45113.0</v>
      </c>
      <c r="O7" s="40">
        <f t="shared" si="3"/>
        <v>13.04</v>
      </c>
      <c r="P7" s="5">
        <f t="shared" si="2"/>
        <v>139.23</v>
      </c>
    </row>
    <row r="8">
      <c r="A8" s="39">
        <v>45108.0</v>
      </c>
      <c r="B8" s="4" t="s">
        <v>52</v>
      </c>
      <c r="C8" s="21">
        <v>15.14</v>
      </c>
      <c r="E8" s="1" t="s">
        <v>64</v>
      </c>
      <c r="F8" s="5">
        <f>SUMIF(B:B,E8,C:C)+SUMIF(B:B,"Shoes",C:C)</f>
        <v>113.92</v>
      </c>
      <c r="H8" s="1" t="s">
        <v>74</v>
      </c>
      <c r="I8" s="5">
        <f>I6-I7</f>
        <v>38.09</v>
      </c>
      <c r="N8" s="39">
        <v>45114.0</v>
      </c>
      <c r="O8" s="40">
        <f t="shared" si="3"/>
        <v>39.85</v>
      </c>
      <c r="P8" s="5">
        <f t="shared" si="2"/>
        <v>179.08</v>
      </c>
    </row>
    <row r="9">
      <c r="A9" s="39">
        <v>45108.0</v>
      </c>
      <c r="B9" s="4" t="s">
        <v>73</v>
      </c>
      <c r="C9" s="21">
        <v>10.0</v>
      </c>
      <c r="E9" s="1" t="s">
        <v>54</v>
      </c>
      <c r="F9" s="5">
        <f>SUMIF(B:B,E9,C:C)+SUMIF(B:B,"Phone",C:C)</f>
        <v>1145.81</v>
      </c>
      <c r="H9" s="1"/>
      <c r="N9" s="39">
        <v>45115.0</v>
      </c>
      <c r="O9" s="40">
        <f t="shared" si="3"/>
        <v>17.1</v>
      </c>
      <c r="P9" s="5">
        <f t="shared" si="2"/>
        <v>196.18</v>
      </c>
    </row>
    <row r="10">
      <c r="A10" s="39">
        <v>45108.0</v>
      </c>
      <c r="B10" s="4" t="s">
        <v>47</v>
      </c>
      <c r="C10" s="21">
        <v>3.85</v>
      </c>
      <c r="E10" s="1" t="s">
        <v>127</v>
      </c>
      <c r="F10" s="5">
        <f>SUMIF(B:B,E10,C:C)</f>
        <v>29.15</v>
      </c>
      <c r="H10" s="53" t="s">
        <v>3</v>
      </c>
      <c r="I10" s="54">
        <f>(I3+I2)/I5</f>
        <v>0.3804103564</v>
      </c>
      <c r="N10" s="39">
        <v>45116.0</v>
      </c>
      <c r="O10" s="40">
        <f t="shared" si="3"/>
        <v>56.76</v>
      </c>
      <c r="P10" s="5">
        <f t="shared" si="2"/>
        <v>252.94</v>
      </c>
    </row>
    <row r="11">
      <c r="A11" s="39">
        <v>45108.0</v>
      </c>
      <c r="B11" s="4" t="s">
        <v>464</v>
      </c>
      <c r="C11" s="21">
        <v>5.99</v>
      </c>
      <c r="E11" s="1" t="s">
        <v>164</v>
      </c>
      <c r="F11" s="48">
        <f>SUMIF(B:B,"Cigs",C:C)</f>
        <v>21.79</v>
      </c>
      <c r="N11" s="39">
        <v>45117.0</v>
      </c>
      <c r="O11" s="40">
        <f t="shared" si="3"/>
        <v>5.85</v>
      </c>
      <c r="P11" s="5">
        <f t="shared" si="2"/>
        <v>258.79</v>
      </c>
    </row>
    <row r="12">
      <c r="A12" s="39">
        <v>45108.0</v>
      </c>
      <c r="B12" s="4" t="s">
        <v>164</v>
      </c>
      <c r="C12" s="21">
        <v>21.79</v>
      </c>
      <c r="E12" s="1" t="s">
        <v>73</v>
      </c>
      <c r="F12" s="5">
        <f>SUMIF(B:B,"Uber",C:C)</f>
        <v>20.23</v>
      </c>
      <c r="N12" s="39">
        <v>45118.0</v>
      </c>
      <c r="O12" s="40">
        <f t="shared" si="3"/>
        <v>23.42</v>
      </c>
      <c r="P12" s="5">
        <f t="shared" si="2"/>
        <v>282.21</v>
      </c>
    </row>
    <row r="13">
      <c r="A13" s="39">
        <v>45108.0</v>
      </c>
      <c r="B13" s="4" t="s">
        <v>253</v>
      </c>
      <c r="C13" s="21">
        <v>24.0</v>
      </c>
      <c r="E13" s="1" t="s">
        <v>75</v>
      </c>
      <c r="F13" s="40">
        <f>SUMIF(B:B,"Gym",C:C)+SUMIF(B:B,"Climbing",C:C)</f>
        <v>135.74</v>
      </c>
      <c r="N13" s="39">
        <v>45119.0</v>
      </c>
      <c r="O13" s="40">
        <f t="shared" si="3"/>
        <v>43.16</v>
      </c>
      <c r="P13" s="5">
        <f t="shared" si="2"/>
        <v>325.37</v>
      </c>
    </row>
    <row r="14">
      <c r="A14" s="39">
        <v>45108.0</v>
      </c>
      <c r="B14" s="4" t="s">
        <v>253</v>
      </c>
      <c r="C14" s="21">
        <v>98.74</v>
      </c>
      <c r="H14" s="19"/>
      <c r="N14" s="39">
        <v>45120.0</v>
      </c>
      <c r="O14" s="40">
        <f t="shared" si="3"/>
        <v>51.18</v>
      </c>
      <c r="P14" s="5">
        <f t="shared" si="2"/>
        <v>376.55</v>
      </c>
    </row>
    <row r="15">
      <c r="A15" s="39">
        <v>45108.0</v>
      </c>
      <c r="B15" s="4" t="s">
        <v>64</v>
      </c>
      <c r="C15" s="21">
        <v>16.94</v>
      </c>
      <c r="H15" s="19"/>
      <c r="N15" s="39">
        <v>45121.0</v>
      </c>
      <c r="O15" s="40">
        <f t="shared" si="3"/>
        <v>144.14</v>
      </c>
      <c r="P15" s="5">
        <f t="shared" si="2"/>
        <v>520.69</v>
      </c>
    </row>
    <row r="16">
      <c r="A16" s="39">
        <v>45109.0</v>
      </c>
      <c r="B16" s="4" t="s">
        <v>465</v>
      </c>
      <c r="C16" s="21">
        <f>50+169</f>
        <v>219</v>
      </c>
      <c r="H16" s="19"/>
      <c r="N16" s="39">
        <v>45122.0</v>
      </c>
      <c r="O16" s="40">
        <f t="shared" si="3"/>
        <v>1055</v>
      </c>
      <c r="P16" s="5">
        <f t="shared" si="2"/>
        <v>1575.69</v>
      </c>
    </row>
    <row r="17">
      <c r="A17" s="39">
        <v>45109.0</v>
      </c>
      <c r="B17" s="4" t="s">
        <v>45</v>
      </c>
      <c r="C17" s="21">
        <v>3.25</v>
      </c>
      <c r="H17" s="19"/>
      <c r="N17" s="39">
        <v>45123.0</v>
      </c>
      <c r="O17" s="40">
        <f t="shared" si="3"/>
        <v>0</v>
      </c>
      <c r="P17" s="5">
        <f t="shared" si="2"/>
        <v>1575.69</v>
      </c>
    </row>
    <row r="18">
      <c r="A18" s="39">
        <v>45110.0</v>
      </c>
      <c r="B18" s="4" t="s">
        <v>47</v>
      </c>
      <c r="C18" s="21">
        <v>6.0</v>
      </c>
      <c r="H18" s="19"/>
      <c r="N18" s="39">
        <v>45124.0</v>
      </c>
      <c r="O18" s="40">
        <f t="shared" si="3"/>
        <v>0</v>
      </c>
      <c r="P18" s="5">
        <f t="shared" si="2"/>
        <v>1575.69</v>
      </c>
    </row>
    <row r="19">
      <c r="A19" s="39">
        <v>45110.0</v>
      </c>
      <c r="B19" s="4" t="s">
        <v>127</v>
      </c>
      <c r="C19" s="21">
        <v>3.65</v>
      </c>
      <c r="H19" s="19"/>
      <c r="N19" s="39">
        <v>45125.0</v>
      </c>
      <c r="O19" s="40">
        <f t="shared" si="3"/>
        <v>0</v>
      </c>
      <c r="P19" s="5">
        <f t="shared" si="2"/>
        <v>1575.69</v>
      </c>
    </row>
    <row r="20">
      <c r="A20" s="39">
        <v>45111.0</v>
      </c>
      <c r="B20" s="4" t="s">
        <v>59</v>
      </c>
      <c r="C20" s="21">
        <v>7.0</v>
      </c>
      <c r="H20" s="19"/>
      <c r="N20" s="39">
        <v>45126.0</v>
      </c>
      <c r="O20" s="40">
        <f t="shared" si="3"/>
        <v>0</v>
      </c>
      <c r="P20" s="5">
        <f t="shared" si="2"/>
        <v>1575.69</v>
      </c>
    </row>
    <row r="21">
      <c r="A21" s="39">
        <v>45113.0</v>
      </c>
      <c r="B21" s="4" t="s">
        <v>140</v>
      </c>
      <c r="C21" s="21">
        <v>7.75</v>
      </c>
      <c r="E21" s="19"/>
      <c r="F21" s="5"/>
      <c r="H21" s="19"/>
      <c r="N21" s="39">
        <v>45127.0</v>
      </c>
      <c r="O21" s="40">
        <f t="shared" si="3"/>
        <v>0</v>
      </c>
      <c r="P21" s="5">
        <f t="shared" si="2"/>
        <v>1575.69</v>
      </c>
    </row>
    <row r="22">
      <c r="A22" s="39">
        <v>45113.0</v>
      </c>
      <c r="B22" s="4" t="s">
        <v>209</v>
      </c>
      <c r="C22" s="21">
        <v>5.29</v>
      </c>
      <c r="E22" s="19"/>
      <c r="F22" s="5"/>
      <c r="H22" s="19"/>
      <c r="N22" s="39">
        <v>45128.0</v>
      </c>
      <c r="O22" s="40">
        <f t="shared" si="3"/>
        <v>30</v>
      </c>
      <c r="P22" s="5">
        <f t="shared" si="2"/>
        <v>1605.69</v>
      </c>
    </row>
    <row r="23">
      <c r="A23" s="39">
        <v>45114.0</v>
      </c>
      <c r="B23" s="4" t="s">
        <v>140</v>
      </c>
      <c r="C23" s="21">
        <v>10.0</v>
      </c>
      <c r="E23" s="19"/>
      <c r="F23" s="5"/>
      <c r="H23" s="19"/>
      <c r="N23" s="39">
        <v>45129.0</v>
      </c>
      <c r="O23" s="40">
        <f t="shared" si="3"/>
        <v>40.81</v>
      </c>
      <c r="P23" s="5">
        <f t="shared" si="2"/>
        <v>1646.5</v>
      </c>
    </row>
    <row r="24">
      <c r="A24" s="39">
        <v>45114.0</v>
      </c>
      <c r="B24" s="4" t="s">
        <v>127</v>
      </c>
      <c r="C24" s="21">
        <v>6.2</v>
      </c>
      <c r="E24" s="19"/>
      <c r="F24" s="5"/>
      <c r="H24" s="19"/>
      <c r="N24" s="39">
        <v>45130.0</v>
      </c>
      <c r="O24" s="40">
        <f t="shared" si="3"/>
        <v>0</v>
      </c>
      <c r="P24" s="5">
        <f t="shared" si="2"/>
        <v>1646.5</v>
      </c>
    </row>
    <row r="25">
      <c r="A25" s="39">
        <v>45114.0</v>
      </c>
      <c r="B25" s="4" t="s">
        <v>47</v>
      </c>
      <c r="C25" s="21">
        <v>10.75</v>
      </c>
      <c r="E25" s="19"/>
      <c r="F25" s="5"/>
      <c r="H25" s="19"/>
      <c r="N25" s="39">
        <v>45131.0</v>
      </c>
      <c r="O25" s="40">
        <f t="shared" si="3"/>
        <v>0</v>
      </c>
      <c r="P25" s="5">
        <f t="shared" si="2"/>
        <v>1646.5</v>
      </c>
    </row>
    <row r="26">
      <c r="A26" s="39">
        <v>45114.0</v>
      </c>
      <c r="B26" s="4" t="s">
        <v>59</v>
      </c>
      <c r="C26" s="21">
        <v>12.9</v>
      </c>
      <c r="E26" s="19"/>
      <c r="F26" s="5"/>
      <c r="H26" s="19"/>
      <c r="N26" s="39">
        <v>45132.0</v>
      </c>
      <c r="O26" s="40">
        <f t="shared" si="3"/>
        <v>0</v>
      </c>
      <c r="P26" s="5">
        <f t="shared" si="2"/>
        <v>1646.5</v>
      </c>
    </row>
    <row r="27">
      <c r="A27" s="39">
        <v>45115.0</v>
      </c>
      <c r="B27" s="4" t="s">
        <v>47</v>
      </c>
      <c r="C27" s="21">
        <v>17.1</v>
      </c>
      <c r="E27" s="19"/>
      <c r="F27" s="5"/>
      <c r="H27" s="19"/>
      <c r="N27" s="39">
        <v>45133.0</v>
      </c>
      <c r="O27" s="40">
        <f t="shared" si="3"/>
        <v>346.37</v>
      </c>
      <c r="P27" s="5">
        <f t="shared" si="2"/>
        <v>1992.87</v>
      </c>
    </row>
    <row r="28">
      <c r="A28" s="39">
        <v>45116.0</v>
      </c>
      <c r="B28" s="4" t="s">
        <v>466</v>
      </c>
      <c r="C28" s="21">
        <v>30.0</v>
      </c>
      <c r="E28" s="19"/>
      <c r="F28" s="5"/>
      <c r="H28" s="19"/>
      <c r="N28" s="39">
        <v>45134.0</v>
      </c>
      <c r="O28" s="40">
        <f t="shared" si="3"/>
        <v>32.74</v>
      </c>
      <c r="P28" s="5">
        <f t="shared" si="2"/>
        <v>2025.61</v>
      </c>
    </row>
    <row r="29">
      <c r="A29" s="39">
        <v>45116.0</v>
      </c>
      <c r="B29" s="4" t="s">
        <v>45</v>
      </c>
      <c r="C29" s="21">
        <v>6.7</v>
      </c>
      <c r="E29" s="19"/>
      <c r="F29" s="5"/>
      <c r="H29" s="19"/>
      <c r="N29" s="39">
        <v>45135.0</v>
      </c>
      <c r="O29" s="40">
        <f t="shared" si="3"/>
        <v>72.49</v>
      </c>
      <c r="P29" s="5">
        <f t="shared" si="2"/>
        <v>2098.1</v>
      </c>
    </row>
    <row r="30">
      <c r="A30" s="39">
        <v>45116.0</v>
      </c>
      <c r="B30" s="4" t="s">
        <v>127</v>
      </c>
      <c r="C30" s="21">
        <v>8.1</v>
      </c>
      <c r="E30" s="19"/>
      <c r="F30" s="5"/>
      <c r="H30" s="19"/>
      <c r="N30" s="39">
        <v>45136.0</v>
      </c>
      <c r="O30" s="40">
        <f t="shared" si="3"/>
        <v>25.62</v>
      </c>
      <c r="P30" s="5">
        <f t="shared" si="2"/>
        <v>2123.72</v>
      </c>
    </row>
    <row r="31">
      <c r="A31" s="39">
        <v>45116.0</v>
      </c>
      <c r="B31" s="4" t="s">
        <v>52</v>
      </c>
      <c r="C31" s="21">
        <v>11.96</v>
      </c>
      <c r="E31" s="19"/>
      <c r="F31" s="5"/>
      <c r="H31" s="19"/>
      <c r="N31" s="39">
        <v>45137.0</v>
      </c>
      <c r="O31" s="40">
        <f t="shared" si="3"/>
        <v>27.18</v>
      </c>
      <c r="P31" s="5">
        <f t="shared" si="2"/>
        <v>2150.9</v>
      </c>
    </row>
    <row r="32">
      <c r="A32" s="39">
        <v>45117.0</v>
      </c>
      <c r="B32" s="4" t="s">
        <v>47</v>
      </c>
      <c r="C32" s="21">
        <v>5.85</v>
      </c>
      <c r="E32" s="19"/>
      <c r="F32" s="5"/>
      <c r="H32" s="19"/>
      <c r="N32" s="39">
        <v>45138.0</v>
      </c>
      <c r="O32" s="40">
        <f t="shared" si="3"/>
        <v>10.95</v>
      </c>
      <c r="P32" s="5">
        <f t="shared" si="2"/>
        <v>2161.85</v>
      </c>
    </row>
    <row r="33">
      <c r="A33" s="39">
        <v>45118.0</v>
      </c>
      <c r="B33" s="4" t="s">
        <v>127</v>
      </c>
      <c r="C33" s="21">
        <v>3.5</v>
      </c>
      <c r="E33" s="19"/>
      <c r="F33" s="5"/>
      <c r="H33" s="19"/>
      <c r="N33" s="39"/>
    </row>
    <row r="34">
      <c r="A34" s="39">
        <v>45118.0</v>
      </c>
      <c r="B34" s="4" t="s">
        <v>59</v>
      </c>
      <c r="C34" s="21">
        <v>19.92</v>
      </c>
      <c r="E34" s="19"/>
      <c r="F34" s="5"/>
      <c r="H34" s="19"/>
    </row>
    <row r="35">
      <c r="A35" s="39">
        <v>45119.0</v>
      </c>
      <c r="B35" s="4" t="s">
        <v>230</v>
      </c>
      <c r="C35" s="21">
        <f>6.86</f>
        <v>6.86</v>
      </c>
      <c r="E35" s="19"/>
      <c r="F35" s="5"/>
      <c r="H35" s="19"/>
    </row>
    <row r="36">
      <c r="A36" s="39">
        <v>45119.0</v>
      </c>
      <c r="B36" s="4" t="s">
        <v>210</v>
      </c>
      <c r="C36" s="21">
        <v>28.3</v>
      </c>
      <c r="E36" s="19"/>
      <c r="F36" s="5"/>
      <c r="H36" s="19"/>
    </row>
    <row r="37">
      <c r="A37" s="39">
        <v>45119.0</v>
      </c>
      <c r="B37" s="4" t="s">
        <v>45</v>
      </c>
      <c r="C37" s="21">
        <v>8.0</v>
      </c>
      <c r="E37" s="19"/>
      <c r="F37" s="5"/>
      <c r="H37" s="19"/>
    </row>
    <row r="38">
      <c r="A38" s="39">
        <v>45120.0</v>
      </c>
      <c r="B38" s="4" t="s">
        <v>467</v>
      </c>
      <c r="C38" s="21">
        <v>12.84</v>
      </c>
      <c r="E38" s="19"/>
      <c r="F38" s="5"/>
      <c r="H38" s="19"/>
    </row>
    <row r="39">
      <c r="A39" s="39">
        <v>45120.0</v>
      </c>
      <c r="B39" s="4" t="s">
        <v>418</v>
      </c>
      <c r="C39" s="21">
        <v>11.99</v>
      </c>
      <c r="E39" s="19"/>
      <c r="F39" s="5"/>
      <c r="H39" s="19"/>
    </row>
    <row r="40">
      <c r="A40" s="39">
        <v>45120.0</v>
      </c>
      <c r="B40" s="4" t="s">
        <v>47</v>
      </c>
      <c r="C40" s="21">
        <v>9.4</v>
      </c>
      <c r="E40" s="19"/>
      <c r="F40" s="5"/>
      <c r="H40" s="19"/>
    </row>
    <row r="41">
      <c r="A41" s="39">
        <v>45120.0</v>
      </c>
      <c r="B41" s="4" t="s">
        <v>399</v>
      </c>
      <c r="C41" s="21">
        <v>16.95</v>
      </c>
      <c r="E41" s="19"/>
      <c r="F41" s="5"/>
      <c r="H41" s="19"/>
    </row>
    <row r="42">
      <c r="A42" s="39">
        <v>45121.0</v>
      </c>
      <c r="B42" s="4" t="s">
        <v>47</v>
      </c>
      <c r="C42" s="21">
        <v>7.0</v>
      </c>
      <c r="E42" s="19"/>
      <c r="F42" s="5"/>
      <c r="H42" s="19"/>
    </row>
    <row r="43">
      <c r="A43" s="39">
        <v>45121.0</v>
      </c>
      <c r="B43" s="4" t="s">
        <v>64</v>
      </c>
      <c r="C43" s="21">
        <v>31.98</v>
      </c>
      <c r="E43" s="19"/>
      <c r="F43" s="5"/>
      <c r="H43" s="19"/>
    </row>
    <row r="44">
      <c r="A44" s="39">
        <v>45121.0</v>
      </c>
      <c r="B44" s="4" t="s">
        <v>468</v>
      </c>
      <c r="C44" s="21">
        <v>27.99</v>
      </c>
      <c r="E44" s="19"/>
      <c r="F44" s="5"/>
      <c r="H44" s="19"/>
    </row>
    <row r="45">
      <c r="A45" s="39">
        <v>45121.0</v>
      </c>
      <c r="B45" s="4" t="s">
        <v>64</v>
      </c>
      <c r="C45" s="21">
        <v>65.0</v>
      </c>
      <c r="E45" s="19"/>
      <c r="F45" s="5"/>
      <c r="H45" s="19"/>
    </row>
    <row r="46">
      <c r="A46" s="39">
        <v>45121.0</v>
      </c>
      <c r="B46" s="4" t="s">
        <v>52</v>
      </c>
      <c r="C46" s="21">
        <v>12.17</v>
      </c>
      <c r="E46" s="19"/>
      <c r="F46" s="5"/>
      <c r="H46" s="19"/>
    </row>
    <row r="47">
      <c r="A47" s="39">
        <v>45122.0</v>
      </c>
      <c r="B47" s="4" t="s">
        <v>54</v>
      </c>
      <c r="C47" s="41">
        <v>1055.0</v>
      </c>
      <c r="E47" s="19"/>
      <c r="F47" s="5"/>
      <c r="H47" s="19"/>
    </row>
    <row r="48">
      <c r="A48" s="39">
        <v>45128.0</v>
      </c>
      <c r="B48" s="4" t="s">
        <v>54</v>
      </c>
      <c r="C48" s="21">
        <v>30.0</v>
      </c>
      <c r="E48" s="19"/>
      <c r="F48" s="5"/>
      <c r="H48" s="19"/>
    </row>
    <row r="49">
      <c r="A49" s="39">
        <v>45129.0</v>
      </c>
      <c r="B49" s="4" t="s">
        <v>252</v>
      </c>
      <c r="C49" s="21">
        <v>40.81</v>
      </c>
      <c r="E49" s="19"/>
      <c r="F49" s="5"/>
      <c r="H49" s="19"/>
    </row>
    <row r="50">
      <c r="A50" s="39">
        <v>45133.0</v>
      </c>
      <c r="B50" s="4" t="s">
        <v>77</v>
      </c>
      <c r="C50" s="21">
        <f>419.27-75</f>
        <v>344.27</v>
      </c>
      <c r="E50" s="19"/>
      <c r="F50" s="5"/>
      <c r="H50" s="19"/>
    </row>
    <row r="51">
      <c r="A51" s="39">
        <v>45133.0</v>
      </c>
      <c r="B51" s="4" t="s">
        <v>127</v>
      </c>
      <c r="C51" s="21">
        <v>2.1</v>
      </c>
      <c r="E51" s="19"/>
      <c r="F51" s="5"/>
      <c r="H51" s="19"/>
    </row>
    <row r="52">
      <c r="A52" s="39">
        <v>45134.0</v>
      </c>
      <c r="B52" s="4" t="s">
        <v>47</v>
      </c>
      <c r="C52" s="21">
        <v>12.74</v>
      </c>
      <c r="E52" s="19"/>
      <c r="F52" s="5"/>
      <c r="H52" s="19"/>
    </row>
    <row r="53">
      <c r="A53" s="39">
        <v>45134.0</v>
      </c>
      <c r="B53" s="4" t="s">
        <v>54</v>
      </c>
      <c r="C53" s="21">
        <v>20.0</v>
      </c>
      <c r="E53" s="19"/>
      <c r="F53" s="5"/>
      <c r="H53" s="19"/>
    </row>
    <row r="54">
      <c r="A54" s="39">
        <v>45135.0</v>
      </c>
      <c r="B54" s="4" t="s">
        <v>210</v>
      </c>
      <c r="C54" s="21">
        <v>20.0</v>
      </c>
      <c r="E54" s="19"/>
      <c r="F54" s="5"/>
      <c r="H54" s="19"/>
    </row>
    <row r="55">
      <c r="A55" s="39">
        <v>45135.0</v>
      </c>
      <c r="B55" s="4" t="s">
        <v>469</v>
      </c>
      <c r="C55" s="21">
        <v>30.69</v>
      </c>
      <c r="E55" s="19"/>
      <c r="F55" s="5"/>
      <c r="H55" s="19"/>
    </row>
    <row r="56">
      <c r="A56" s="39">
        <v>45135.0</v>
      </c>
      <c r="B56" s="4" t="s">
        <v>47</v>
      </c>
      <c r="C56" s="21">
        <v>10.2</v>
      </c>
      <c r="E56" s="19"/>
      <c r="F56" s="5"/>
      <c r="H56" s="19"/>
    </row>
    <row r="57">
      <c r="A57" s="39">
        <v>45135.0</v>
      </c>
      <c r="B57" s="4" t="s">
        <v>45</v>
      </c>
      <c r="C57" s="21">
        <v>11.6</v>
      </c>
      <c r="E57" s="19"/>
      <c r="F57" s="5"/>
      <c r="H57" s="19"/>
    </row>
    <row r="58">
      <c r="A58" s="39">
        <v>45136.0</v>
      </c>
      <c r="B58" s="4" t="s">
        <v>45</v>
      </c>
      <c r="C58" s="21">
        <v>11.6</v>
      </c>
      <c r="E58" s="19"/>
      <c r="F58" s="5"/>
      <c r="H58" s="19"/>
    </row>
    <row r="59">
      <c r="A59" s="39">
        <v>45136.0</v>
      </c>
      <c r="B59" s="4" t="s">
        <v>127</v>
      </c>
      <c r="C59" s="56">
        <v>5.6</v>
      </c>
      <c r="E59" s="19"/>
      <c r="F59" s="5"/>
      <c r="H59" s="19"/>
    </row>
    <row r="60">
      <c r="A60" s="39">
        <v>45136.0</v>
      </c>
      <c r="B60" s="4" t="s">
        <v>470</v>
      </c>
      <c r="C60" s="21">
        <v>4.13</v>
      </c>
      <c r="E60" s="19"/>
      <c r="F60" s="5"/>
      <c r="H60" s="19"/>
    </row>
    <row r="61">
      <c r="A61" s="39">
        <v>45136.0</v>
      </c>
      <c r="B61" s="4" t="s">
        <v>471</v>
      </c>
      <c r="C61" s="21">
        <v>4.29</v>
      </c>
      <c r="E61" s="19"/>
      <c r="F61" s="5"/>
      <c r="H61" s="19"/>
    </row>
    <row r="62">
      <c r="A62" s="39">
        <v>45137.0</v>
      </c>
      <c r="B62" s="4" t="s">
        <v>73</v>
      </c>
      <c r="C62" s="21">
        <v>10.23</v>
      </c>
      <c r="E62" s="19"/>
      <c r="F62" s="5"/>
      <c r="H62" s="19"/>
    </row>
    <row r="63">
      <c r="A63" s="39">
        <v>45137.0</v>
      </c>
      <c r="B63" s="4" t="s">
        <v>52</v>
      </c>
      <c r="C63" s="21">
        <v>16.95</v>
      </c>
      <c r="E63" s="19"/>
      <c r="F63" s="5"/>
      <c r="H63" s="19"/>
    </row>
    <row r="64">
      <c r="A64" s="39">
        <v>45138.0</v>
      </c>
      <c r="B64" s="4" t="s">
        <v>47</v>
      </c>
      <c r="C64" s="21">
        <v>10.95</v>
      </c>
      <c r="E64" s="19"/>
      <c r="F64" s="5"/>
      <c r="H64" s="19"/>
    </row>
    <row r="65">
      <c r="A65" s="39"/>
      <c r="C65" s="21"/>
      <c r="E65" s="19"/>
      <c r="F65" s="5"/>
      <c r="H65" s="19"/>
    </row>
    <row r="66">
      <c r="A66" s="39"/>
      <c r="C66" s="21"/>
      <c r="E66" s="19"/>
      <c r="F66" s="5"/>
      <c r="H66" s="19"/>
    </row>
    <row r="67">
      <c r="A67" s="39"/>
      <c r="C67" s="21"/>
      <c r="E67" s="19"/>
      <c r="F67" s="5"/>
      <c r="H67" s="19"/>
    </row>
    <row r="68">
      <c r="A68" s="39"/>
      <c r="C68" s="21"/>
      <c r="E68" s="19"/>
      <c r="F68" s="5"/>
      <c r="H68" s="19"/>
    </row>
    <row r="69">
      <c r="A69" s="39"/>
      <c r="C69" s="21"/>
      <c r="E69" s="19"/>
      <c r="F69" s="5"/>
      <c r="H69" s="19"/>
    </row>
    <row r="70">
      <c r="A70" s="39"/>
      <c r="C70" s="21"/>
      <c r="E70" s="19"/>
      <c r="F70" s="5"/>
      <c r="H70" s="19"/>
    </row>
    <row r="71">
      <c r="A71" s="39"/>
      <c r="C71" s="21"/>
      <c r="E71" s="19"/>
      <c r="F71" s="5"/>
      <c r="H71" s="19"/>
    </row>
    <row r="72">
      <c r="A72" s="39"/>
      <c r="C72" s="21"/>
      <c r="E72" s="19"/>
      <c r="F72" s="5"/>
      <c r="H72" s="19"/>
    </row>
    <row r="73">
      <c r="A73" s="39"/>
      <c r="C73" s="21"/>
      <c r="E73" s="19"/>
      <c r="F73" s="5"/>
      <c r="H73" s="19"/>
    </row>
    <row r="74">
      <c r="A74" s="39"/>
      <c r="C74" s="21"/>
      <c r="E74" s="19"/>
      <c r="F74" s="5"/>
      <c r="H74" s="19"/>
    </row>
    <row r="75">
      <c r="A75" s="39"/>
      <c r="C75" s="21"/>
      <c r="E75" s="19"/>
      <c r="F75" s="5"/>
      <c r="H75" s="19"/>
    </row>
    <row r="76">
      <c r="A76" s="39"/>
      <c r="C76" s="21"/>
      <c r="E76" s="19"/>
      <c r="F76" s="5"/>
      <c r="H76" s="19"/>
    </row>
    <row r="77">
      <c r="A77" s="39"/>
      <c r="C77" s="21"/>
      <c r="E77" s="19"/>
      <c r="F77" s="5"/>
      <c r="H77" s="19"/>
    </row>
    <row r="78">
      <c r="A78" s="39"/>
      <c r="C78" s="21"/>
      <c r="E78" s="19"/>
      <c r="F78" s="5"/>
      <c r="H78" s="19"/>
    </row>
    <row r="79">
      <c r="A79" s="39"/>
      <c r="C79" s="21"/>
      <c r="E79" s="19"/>
      <c r="F79" s="5"/>
      <c r="H79" s="19"/>
    </row>
    <row r="80">
      <c r="A80" s="39"/>
      <c r="C80" s="21"/>
      <c r="E80" s="19"/>
      <c r="F80" s="5"/>
      <c r="H80" s="19"/>
    </row>
    <row r="81">
      <c r="A81" s="39"/>
      <c r="C81" s="21"/>
      <c r="E81" s="19"/>
      <c r="F81" s="5"/>
      <c r="H81" s="19"/>
    </row>
    <row r="82">
      <c r="A82" s="39"/>
      <c r="C82" s="21"/>
      <c r="E82" s="19"/>
      <c r="F82" s="5"/>
      <c r="H82" s="19"/>
    </row>
    <row r="83">
      <c r="A83" s="39"/>
      <c r="C83" s="21"/>
      <c r="E83" s="19"/>
      <c r="F83" s="5"/>
      <c r="H83" s="19"/>
    </row>
    <row r="84">
      <c r="A84" s="39"/>
      <c r="C84" s="21"/>
      <c r="E84" s="19"/>
      <c r="F84" s="5"/>
      <c r="H84" s="19"/>
    </row>
    <row r="85">
      <c r="A85" s="39"/>
      <c r="C85" s="21"/>
      <c r="E85" s="19"/>
      <c r="F85" s="5"/>
      <c r="H85" s="19"/>
    </row>
    <row r="86">
      <c r="A86" s="39"/>
      <c r="C86" s="21"/>
      <c r="E86" s="19"/>
      <c r="F86" s="5"/>
      <c r="H86" s="19"/>
    </row>
    <row r="87">
      <c r="A87" s="39"/>
      <c r="C87" s="21"/>
      <c r="E87" s="19"/>
      <c r="F87" s="5"/>
      <c r="H87" s="19"/>
    </row>
    <row r="88">
      <c r="A88" s="39"/>
      <c r="C88" s="21"/>
      <c r="E88" s="19"/>
      <c r="F88" s="5"/>
      <c r="H88" s="19"/>
    </row>
    <row r="89">
      <c r="A89" s="39"/>
      <c r="C89" s="21"/>
      <c r="E89" s="19"/>
      <c r="F89" s="5"/>
      <c r="H89" s="19"/>
    </row>
    <row r="90">
      <c r="A90" s="39"/>
      <c r="C90" s="21"/>
      <c r="E90" s="19"/>
      <c r="F90" s="5"/>
      <c r="H90" s="19"/>
    </row>
    <row r="91">
      <c r="A91" s="39"/>
      <c r="C91" s="21"/>
      <c r="E91" s="19"/>
      <c r="F91" s="5"/>
      <c r="H91" s="19"/>
    </row>
    <row r="92">
      <c r="A92" s="39"/>
      <c r="C92" s="21"/>
      <c r="E92" s="19"/>
      <c r="F92" s="5"/>
      <c r="H92" s="19"/>
    </row>
    <row r="93">
      <c r="A93" s="39"/>
      <c r="C93" s="21"/>
      <c r="E93" s="19"/>
      <c r="F93" s="5"/>
      <c r="H93" s="19"/>
    </row>
    <row r="94">
      <c r="A94" s="39"/>
      <c r="C94" s="21"/>
      <c r="E94" s="19"/>
      <c r="F94" s="5"/>
      <c r="H94" s="19"/>
    </row>
    <row r="95">
      <c r="A95" s="39"/>
      <c r="C95" s="21"/>
      <c r="E95" s="19"/>
      <c r="F95" s="5"/>
      <c r="H95" s="19"/>
    </row>
    <row r="96">
      <c r="A96" s="39"/>
      <c r="C96" s="21"/>
      <c r="E96" s="19"/>
      <c r="F96" s="5"/>
      <c r="H96" s="19"/>
    </row>
    <row r="97">
      <c r="A97" s="39"/>
      <c r="C97" s="21"/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1">
    <cfRule type="cellIs" dxfId="3" priority="3" operator="greaterThan">
      <formula>0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70.53</v>
      </c>
      <c r="H1" s="1" t="s">
        <v>46</v>
      </c>
      <c r="I1" s="5">
        <f>I5-I6</f>
        <v>-56.04</v>
      </c>
      <c r="J1" s="19"/>
      <c r="K1" s="1" t="s">
        <v>47</v>
      </c>
      <c r="L1" s="5">
        <f t="shared" ref="L1:L4" si="1">SUMIF(B:B,K1,C:I)</f>
        <v>86.74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45078.0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14.24</v>
      </c>
      <c r="H2" s="1" t="s">
        <v>6</v>
      </c>
      <c r="I2" s="5">
        <f>SUMIF(B:B,H2,C:C)</f>
        <v>250</v>
      </c>
      <c r="K2" s="1" t="s">
        <v>53</v>
      </c>
      <c r="L2" s="5">
        <f t="shared" si="1"/>
        <v>56.22</v>
      </c>
      <c r="N2" s="39">
        <v>45078.0</v>
      </c>
      <c r="O2" s="40">
        <f t="shared" ref="O2:O31" si="2">sumif(A:A,N2,C:C)</f>
        <v>346.84</v>
      </c>
      <c r="P2" s="40">
        <f>SUM(O2)</f>
        <v>346.84</v>
      </c>
    </row>
    <row r="3">
      <c r="A3" s="39">
        <v>45078.0</v>
      </c>
      <c r="B3" s="4" t="s">
        <v>230</v>
      </c>
      <c r="C3" s="21">
        <v>20.0</v>
      </c>
      <c r="E3" s="1" t="s">
        <v>209</v>
      </c>
      <c r="F3" s="5">
        <f>SUMIF(B:B,"Pret",C:C)+SUMIF(B:B,"Breakfast",C:C)</f>
        <v>26.91</v>
      </c>
      <c r="H3" s="1" t="s">
        <v>8</v>
      </c>
      <c r="I3" s="5">
        <f>SUMIF(B:B,H3,C:C)+I1</f>
        <v>193.96</v>
      </c>
      <c r="K3" s="1" t="s">
        <v>56</v>
      </c>
      <c r="L3" s="5">
        <f t="shared" si="1"/>
        <v>4.65</v>
      </c>
      <c r="N3" s="39">
        <v>45079.0</v>
      </c>
      <c r="O3" s="40">
        <f t="shared" si="2"/>
        <v>14.8</v>
      </c>
      <c r="P3" s="40">
        <f t="shared" ref="P3:P31" si="3">P2+O3</f>
        <v>361.64</v>
      </c>
    </row>
    <row r="4">
      <c r="A4" s="39">
        <v>45078.0</v>
      </c>
      <c r="B4" s="4" t="s">
        <v>112</v>
      </c>
      <c r="C4" s="21">
        <v>20.0</v>
      </c>
      <c r="E4" s="1" t="s">
        <v>140</v>
      </c>
      <c r="F4" s="5">
        <f>SUMIF(B:B,E4,C:C)</f>
        <v>45.13</v>
      </c>
      <c r="K4" s="1" t="s">
        <v>59</v>
      </c>
      <c r="L4" s="5">
        <f t="shared" si="1"/>
        <v>39.44</v>
      </c>
      <c r="N4" s="39">
        <v>45080.0</v>
      </c>
      <c r="O4" s="40">
        <f t="shared" si="2"/>
        <v>176.55</v>
      </c>
      <c r="P4" s="40">
        <f t="shared" si="3"/>
        <v>538.19</v>
      </c>
    </row>
    <row r="5">
      <c r="A5" s="39">
        <v>45078.0</v>
      </c>
      <c r="B5" s="4" t="s">
        <v>64</v>
      </c>
      <c r="C5" s="21">
        <v>16.93</v>
      </c>
      <c r="E5" s="1" t="s">
        <v>57</v>
      </c>
      <c r="F5" s="5">
        <f>sum(L:L)</f>
        <v>187.05</v>
      </c>
      <c r="H5" s="1" t="s">
        <v>65</v>
      </c>
      <c r="I5" s="49">
        <v>2570.76</v>
      </c>
      <c r="N5" s="39">
        <v>45081.0</v>
      </c>
      <c r="O5" s="40">
        <f t="shared" si="2"/>
        <v>7.35</v>
      </c>
      <c r="P5" s="40">
        <f t="shared" si="3"/>
        <v>545.54</v>
      </c>
    </row>
    <row r="6">
      <c r="A6" s="39">
        <v>45078.0</v>
      </c>
      <c r="B6" s="4" t="s">
        <v>53</v>
      </c>
      <c r="C6" s="21">
        <v>22.67</v>
      </c>
      <c r="E6" s="42" t="s">
        <v>61</v>
      </c>
      <c r="F6" s="5">
        <f>SUMIF(B:B,"Games",C:C)+SUMIF(B:B,"Spotify",C:C)+SUMIF(B:B,"Disney+",C:C)+SUMIF(B:B,"Book",C:C)+SUMIF(B:B,"Audible",C:C)</f>
        <v>37.48</v>
      </c>
      <c r="H6" s="1" t="s">
        <v>68</v>
      </c>
      <c r="I6" s="5">
        <f>sum(C:C)</f>
        <v>2626.8</v>
      </c>
      <c r="N6" s="39">
        <v>45082.0</v>
      </c>
      <c r="O6" s="40">
        <f t="shared" si="2"/>
        <v>12.99</v>
      </c>
      <c r="P6" s="40">
        <f t="shared" si="3"/>
        <v>558.53</v>
      </c>
    </row>
    <row r="7">
      <c r="A7" s="39">
        <v>45078.0</v>
      </c>
      <c r="B7" s="4" t="s">
        <v>47</v>
      </c>
      <c r="C7" s="40">
        <f>6.35-5.5</f>
        <v>0.85</v>
      </c>
      <c r="E7" s="1" t="s">
        <v>64</v>
      </c>
      <c r="F7" s="5">
        <f>SUMIF(B:B,E7,C:C)+SUMIF(B:B,"Shoes",C:C)</f>
        <v>16.93</v>
      </c>
      <c r="H7" s="1" t="s">
        <v>72</v>
      </c>
      <c r="I7" s="5">
        <f>sum(F:F)+I2+I3</f>
        <v>2321.98</v>
      </c>
      <c r="N7" s="39">
        <v>45083.0</v>
      </c>
      <c r="O7" s="40">
        <f t="shared" si="2"/>
        <v>19.23</v>
      </c>
      <c r="P7" s="40">
        <f t="shared" si="3"/>
        <v>577.76</v>
      </c>
    </row>
    <row r="8">
      <c r="A8" s="39">
        <v>45078.0</v>
      </c>
      <c r="B8" s="4" t="s">
        <v>209</v>
      </c>
      <c r="C8" s="21">
        <v>5.29</v>
      </c>
      <c r="E8" s="1" t="s">
        <v>54</v>
      </c>
      <c r="F8" s="5">
        <f>SUMIF(B:B,E8,C:C)+SUMIF(B:B,"Phone",C:C)</f>
        <v>1185.81</v>
      </c>
      <c r="H8" s="1" t="s">
        <v>74</v>
      </c>
      <c r="I8" s="5">
        <f>I6-I7</f>
        <v>304.82</v>
      </c>
      <c r="N8" s="39">
        <v>45084.0</v>
      </c>
      <c r="O8" s="40">
        <f t="shared" si="2"/>
        <v>29.19</v>
      </c>
      <c r="P8" s="40">
        <f t="shared" si="3"/>
        <v>606.95</v>
      </c>
    </row>
    <row r="9">
      <c r="A9" s="39">
        <v>45078.0</v>
      </c>
      <c r="B9" s="4" t="s">
        <v>140</v>
      </c>
      <c r="C9" s="21">
        <v>11.1</v>
      </c>
      <c r="E9" s="1" t="s">
        <v>127</v>
      </c>
      <c r="F9" s="5">
        <f>SUMIF(B:B,E9,C:C)</f>
        <v>82.25</v>
      </c>
      <c r="H9" s="1"/>
      <c r="N9" s="39">
        <v>45085.0</v>
      </c>
      <c r="O9" s="40">
        <f t="shared" si="2"/>
        <v>14.9</v>
      </c>
      <c r="P9" s="40">
        <f t="shared" si="3"/>
        <v>621.85</v>
      </c>
    </row>
    <row r="10">
      <c r="A10" s="39">
        <v>45079.0</v>
      </c>
      <c r="B10" s="4" t="s">
        <v>127</v>
      </c>
      <c r="C10" s="21">
        <v>6.8</v>
      </c>
      <c r="E10" s="1" t="s">
        <v>164</v>
      </c>
      <c r="F10" s="48">
        <f>SUMIF(B:B,"Cigs",C:C)</f>
        <v>5</v>
      </c>
      <c r="H10" s="53" t="s">
        <v>3</v>
      </c>
      <c r="I10" s="54">
        <f>(I3+I2)/I5</f>
        <v>0.1726960121</v>
      </c>
      <c r="N10" s="39">
        <v>45086.0</v>
      </c>
      <c r="O10" s="40">
        <f t="shared" si="2"/>
        <v>48.41</v>
      </c>
      <c r="P10" s="40">
        <f t="shared" si="3"/>
        <v>670.26</v>
      </c>
    </row>
    <row r="11">
      <c r="A11" s="39">
        <v>45079.0</v>
      </c>
      <c r="B11" s="4" t="s">
        <v>140</v>
      </c>
      <c r="C11" s="21">
        <v>8.0</v>
      </c>
      <c r="E11" s="1" t="s">
        <v>73</v>
      </c>
      <c r="F11" s="5">
        <f>SUMIF(B:B,"Uber",C:C)</f>
        <v>30.69</v>
      </c>
      <c r="N11" s="39">
        <v>45087.0</v>
      </c>
      <c r="O11" s="40">
        <f t="shared" si="2"/>
        <v>48.03</v>
      </c>
      <c r="P11" s="40">
        <f t="shared" si="3"/>
        <v>718.29</v>
      </c>
    </row>
    <row r="12">
      <c r="A12" s="39">
        <v>45080.0</v>
      </c>
      <c r="B12" s="4" t="s">
        <v>164</v>
      </c>
      <c r="C12" s="21">
        <v>5.0</v>
      </c>
      <c r="E12" s="1" t="s">
        <v>75</v>
      </c>
      <c r="F12" s="40">
        <f>SUMIF(B:B,"Gym",C:C)+SUMIF(B:B,"Climbing",C:C)</f>
        <v>176</v>
      </c>
      <c r="N12" s="39">
        <v>45088.0</v>
      </c>
      <c r="O12" s="40">
        <f t="shared" si="2"/>
        <v>27.94</v>
      </c>
      <c r="P12" s="40">
        <f t="shared" si="3"/>
        <v>746.23</v>
      </c>
    </row>
    <row r="13">
      <c r="A13" s="39">
        <v>45080.0</v>
      </c>
      <c r="B13" s="4" t="s">
        <v>45</v>
      </c>
      <c r="C13" s="21">
        <v>10.0</v>
      </c>
      <c r="N13" s="39">
        <v>45089.0</v>
      </c>
      <c r="O13" s="40">
        <f t="shared" si="2"/>
        <v>0</v>
      </c>
      <c r="P13" s="40">
        <f t="shared" si="3"/>
        <v>746.23</v>
      </c>
    </row>
    <row r="14">
      <c r="A14" s="39">
        <v>45080.0</v>
      </c>
      <c r="B14" s="4" t="s">
        <v>422</v>
      </c>
      <c r="C14" s="21">
        <v>127.0</v>
      </c>
      <c r="H14" s="19"/>
      <c r="N14" s="39">
        <v>45090.0</v>
      </c>
      <c r="O14" s="40">
        <f t="shared" si="2"/>
        <v>18.85</v>
      </c>
      <c r="P14" s="40">
        <f t="shared" si="3"/>
        <v>765.08</v>
      </c>
    </row>
    <row r="15">
      <c r="A15" s="39">
        <v>45080.0</v>
      </c>
      <c r="B15" s="4" t="s">
        <v>472</v>
      </c>
      <c r="C15" s="21">
        <v>6.7</v>
      </c>
      <c r="H15" s="19"/>
      <c r="N15" s="39">
        <v>45091.0</v>
      </c>
      <c r="O15" s="40">
        <f t="shared" si="2"/>
        <v>0</v>
      </c>
      <c r="P15" s="40">
        <f t="shared" si="3"/>
        <v>765.08</v>
      </c>
    </row>
    <row r="16">
      <c r="A16" s="39">
        <v>45080.0</v>
      </c>
      <c r="B16" s="4" t="s">
        <v>45</v>
      </c>
      <c r="C16" s="21">
        <v>6.0</v>
      </c>
      <c r="H16" s="19"/>
      <c r="N16" s="39">
        <v>45092.0</v>
      </c>
      <c r="O16" s="40">
        <f t="shared" si="2"/>
        <v>1086.68</v>
      </c>
      <c r="P16" s="40">
        <f t="shared" si="3"/>
        <v>1851.76</v>
      </c>
    </row>
    <row r="17">
      <c r="A17" s="39">
        <v>45080.0</v>
      </c>
      <c r="B17" s="4" t="s">
        <v>45</v>
      </c>
      <c r="C17" s="21">
        <v>8.6</v>
      </c>
      <c r="H17" s="19"/>
      <c r="N17" s="39">
        <v>45093.0</v>
      </c>
      <c r="O17" s="40">
        <f t="shared" si="2"/>
        <v>52.19</v>
      </c>
      <c r="P17" s="40">
        <f t="shared" si="3"/>
        <v>1903.95</v>
      </c>
    </row>
    <row r="18">
      <c r="A18" s="39">
        <v>45080.0</v>
      </c>
      <c r="B18" s="4" t="s">
        <v>47</v>
      </c>
      <c r="C18" s="21">
        <v>3.8</v>
      </c>
      <c r="H18" s="19"/>
      <c r="N18" s="39">
        <v>45094.0</v>
      </c>
      <c r="O18" s="40">
        <f t="shared" si="2"/>
        <v>12.23</v>
      </c>
      <c r="P18" s="40">
        <f t="shared" si="3"/>
        <v>1916.18</v>
      </c>
    </row>
    <row r="19">
      <c r="A19" s="39">
        <v>45080.0</v>
      </c>
      <c r="B19" s="4" t="s">
        <v>73</v>
      </c>
      <c r="C19" s="21">
        <v>9.45</v>
      </c>
      <c r="H19" s="19"/>
      <c r="N19" s="39">
        <v>45095.0</v>
      </c>
      <c r="O19" s="40">
        <f t="shared" si="2"/>
        <v>109.9</v>
      </c>
      <c r="P19" s="40">
        <f t="shared" si="3"/>
        <v>2026.08</v>
      </c>
    </row>
    <row r="20">
      <c r="A20" s="39">
        <v>45081.0</v>
      </c>
      <c r="B20" s="4" t="s">
        <v>127</v>
      </c>
      <c r="C20" s="21">
        <v>5.6</v>
      </c>
      <c r="H20" s="19"/>
      <c r="N20" s="39">
        <v>45096.0</v>
      </c>
      <c r="O20" s="40">
        <f t="shared" si="2"/>
        <v>27.65</v>
      </c>
      <c r="P20" s="40">
        <f t="shared" si="3"/>
        <v>2053.73</v>
      </c>
    </row>
    <row r="21">
      <c r="A21" s="39">
        <v>45081.0</v>
      </c>
      <c r="B21" s="4" t="s">
        <v>127</v>
      </c>
      <c r="C21" s="21">
        <v>1.75</v>
      </c>
      <c r="E21" s="19"/>
      <c r="F21" s="5"/>
      <c r="H21" s="19"/>
      <c r="N21" s="39">
        <v>45097.0</v>
      </c>
      <c r="O21" s="40">
        <f t="shared" si="2"/>
        <v>5.29</v>
      </c>
      <c r="P21" s="40">
        <f t="shared" si="3"/>
        <v>2059.02</v>
      </c>
    </row>
    <row r="22">
      <c r="A22" s="39">
        <v>45082.0</v>
      </c>
      <c r="B22" s="4" t="s">
        <v>59</v>
      </c>
      <c r="C22" s="21">
        <f>22.24-12.8</f>
        <v>9.44</v>
      </c>
      <c r="E22" s="19"/>
      <c r="F22" s="5"/>
      <c r="H22" s="19"/>
      <c r="N22" s="39">
        <v>45098.0</v>
      </c>
      <c r="O22" s="40">
        <f t="shared" si="2"/>
        <v>18.1</v>
      </c>
      <c r="P22" s="40">
        <f t="shared" si="3"/>
        <v>2077.12</v>
      </c>
    </row>
    <row r="23">
      <c r="A23" s="39">
        <v>45082.0</v>
      </c>
      <c r="B23" s="4" t="s">
        <v>127</v>
      </c>
      <c r="C23" s="21">
        <v>3.55</v>
      </c>
      <c r="E23" s="19"/>
      <c r="F23" s="5"/>
      <c r="H23" s="19"/>
      <c r="N23" s="39">
        <v>45099.0</v>
      </c>
      <c r="O23" s="40">
        <f t="shared" si="2"/>
        <v>351.09</v>
      </c>
      <c r="P23" s="40">
        <f t="shared" si="3"/>
        <v>2428.21</v>
      </c>
    </row>
    <row r="24">
      <c r="A24" s="39">
        <v>45083.0</v>
      </c>
      <c r="B24" s="4" t="s">
        <v>473</v>
      </c>
      <c r="C24" s="21">
        <v>6.99</v>
      </c>
      <c r="E24" s="19"/>
      <c r="F24" s="5"/>
      <c r="H24" s="19"/>
      <c r="N24" s="39">
        <v>45100.0</v>
      </c>
      <c r="O24" s="40">
        <f t="shared" si="2"/>
        <v>36.55</v>
      </c>
      <c r="P24" s="40">
        <f t="shared" si="3"/>
        <v>2464.76</v>
      </c>
    </row>
    <row r="25">
      <c r="A25" s="39">
        <v>45083.0</v>
      </c>
      <c r="B25" s="4" t="s">
        <v>474</v>
      </c>
      <c r="C25" s="21">
        <v>5.99</v>
      </c>
      <c r="E25" s="19"/>
      <c r="F25" s="5"/>
      <c r="H25" s="19"/>
      <c r="N25" s="39">
        <v>45101.0</v>
      </c>
      <c r="O25" s="40">
        <f t="shared" si="2"/>
        <v>39.85</v>
      </c>
      <c r="P25" s="40">
        <f t="shared" si="3"/>
        <v>2504.61</v>
      </c>
    </row>
    <row r="26">
      <c r="A26" s="39">
        <v>45083.0</v>
      </c>
      <c r="B26" s="4" t="s">
        <v>47</v>
      </c>
      <c r="C26" s="21">
        <f>2.55+3.7</f>
        <v>6.25</v>
      </c>
      <c r="E26" s="19"/>
      <c r="F26" s="5"/>
      <c r="H26" s="19"/>
      <c r="N26" s="39">
        <v>45102.0</v>
      </c>
      <c r="O26" s="40">
        <f t="shared" si="2"/>
        <v>23.77</v>
      </c>
      <c r="P26" s="40">
        <f t="shared" si="3"/>
        <v>2528.38</v>
      </c>
    </row>
    <row r="27">
      <c r="A27" s="39">
        <v>45084.0</v>
      </c>
      <c r="B27" s="4" t="s">
        <v>209</v>
      </c>
      <c r="C27" s="21">
        <v>5.75</v>
      </c>
      <c r="E27" s="19"/>
      <c r="F27" s="5"/>
      <c r="H27" s="19"/>
      <c r="N27" s="39">
        <v>45103.0</v>
      </c>
      <c r="O27" s="40">
        <f t="shared" si="2"/>
        <v>30</v>
      </c>
      <c r="P27" s="40">
        <f t="shared" si="3"/>
        <v>2558.38</v>
      </c>
    </row>
    <row r="28">
      <c r="A28" s="39">
        <v>45084.0</v>
      </c>
      <c r="B28" s="4" t="s">
        <v>52</v>
      </c>
      <c r="C28" s="21">
        <v>14.24</v>
      </c>
      <c r="E28" s="19"/>
      <c r="F28" s="5"/>
      <c r="H28" s="19"/>
      <c r="N28" s="39">
        <v>45104.0</v>
      </c>
      <c r="O28" s="40">
        <f t="shared" si="2"/>
        <v>22.33</v>
      </c>
      <c r="P28" s="40">
        <f t="shared" si="3"/>
        <v>2580.71</v>
      </c>
    </row>
    <row r="29">
      <c r="A29" s="39">
        <v>45084.0</v>
      </c>
      <c r="B29" s="4" t="s">
        <v>127</v>
      </c>
      <c r="C29" s="21">
        <v>7.1</v>
      </c>
      <c r="E29" s="19"/>
      <c r="F29" s="5"/>
      <c r="H29" s="19"/>
      <c r="N29" s="39">
        <v>45105.0</v>
      </c>
      <c r="O29" s="40">
        <f t="shared" si="2"/>
        <v>0</v>
      </c>
      <c r="P29" s="40">
        <f t="shared" si="3"/>
        <v>2580.71</v>
      </c>
    </row>
    <row r="30">
      <c r="A30" s="39">
        <v>45084.0</v>
      </c>
      <c r="B30" s="4" t="s">
        <v>127</v>
      </c>
      <c r="C30" s="21">
        <v>2.1</v>
      </c>
      <c r="E30" s="19"/>
      <c r="F30" s="5"/>
      <c r="H30" s="19"/>
      <c r="N30" s="39">
        <v>45106.0</v>
      </c>
      <c r="O30" s="40">
        <f t="shared" si="2"/>
        <v>19.29</v>
      </c>
      <c r="P30" s="40">
        <f t="shared" si="3"/>
        <v>2600</v>
      </c>
    </row>
    <row r="31">
      <c r="A31" s="39">
        <v>45085.0</v>
      </c>
      <c r="B31" s="4" t="s">
        <v>47</v>
      </c>
      <c r="C31" s="21">
        <v>2.05</v>
      </c>
      <c r="E31" s="19"/>
      <c r="F31" s="5"/>
      <c r="H31" s="19"/>
      <c r="N31" s="39">
        <v>45107.0</v>
      </c>
      <c r="O31" s="40">
        <f t="shared" si="2"/>
        <v>26.8</v>
      </c>
      <c r="P31" s="40">
        <f t="shared" si="3"/>
        <v>2626.8</v>
      </c>
    </row>
    <row r="32">
      <c r="A32" s="39">
        <v>45085.0</v>
      </c>
      <c r="B32" s="4" t="s">
        <v>127</v>
      </c>
      <c r="C32" s="21">
        <v>7.1</v>
      </c>
      <c r="E32" s="19"/>
      <c r="F32" s="5"/>
      <c r="H32" s="19"/>
      <c r="N32" s="39"/>
    </row>
    <row r="33">
      <c r="A33" s="39">
        <v>45085.0</v>
      </c>
      <c r="B33" s="4" t="s">
        <v>475</v>
      </c>
      <c r="C33" s="21">
        <v>5.75</v>
      </c>
      <c r="E33" s="19"/>
      <c r="F33" s="5"/>
      <c r="H33" s="19"/>
      <c r="N33" s="39"/>
    </row>
    <row r="34">
      <c r="A34" s="39">
        <v>45086.0</v>
      </c>
      <c r="B34" s="4" t="s">
        <v>476</v>
      </c>
      <c r="C34" s="21">
        <v>10.8</v>
      </c>
      <c r="E34" s="19"/>
      <c r="F34" s="5"/>
      <c r="H34" s="19"/>
    </row>
    <row r="35">
      <c r="A35" s="39">
        <v>45086.0</v>
      </c>
      <c r="B35" s="4" t="s">
        <v>332</v>
      </c>
      <c r="C35" s="21">
        <v>26.05</v>
      </c>
      <c r="E35" s="19"/>
      <c r="F35" s="5"/>
      <c r="H35" s="19"/>
    </row>
    <row r="36">
      <c r="A36" s="39">
        <v>45086.0</v>
      </c>
      <c r="B36" s="4" t="s">
        <v>47</v>
      </c>
      <c r="C36" s="21">
        <f>7.85+1.91</f>
        <v>9.76</v>
      </c>
      <c r="E36" s="19"/>
      <c r="F36" s="5"/>
      <c r="H36" s="19"/>
    </row>
    <row r="37">
      <c r="A37" s="39">
        <v>45086.0</v>
      </c>
      <c r="B37" s="4" t="s">
        <v>127</v>
      </c>
      <c r="C37" s="21">
        <v>1.8</v>
      </c>
      <c r="E37" s="19"/>
      <c r="F37" s="5"/>
      <c r="H37" s="19"/>
    </row>
    <row r="38">
      <c r="A38" s="39">
        <v>45087.0</v>
      </c>
      <c r="B38" s="4" t="s">
        <v>47</v>
      </c>
      <c r="C38" s="21">
        <f>1+5.85</f>
        <v>6.85</v>
      </c>
      <c r="E38" s="19"/>
      <c r="F38" s="5"/>
      <c r="H38" s="19"/>
    </row>
    <row r="39">
      <c r="A39" s="39">
        <v>45087.0</v>
      </c>
      <c r="B39" s="4" t="s">
        <v>298</v>
      </c>
      <c r="C39" s="21">
        <v>14.0</v>
      </c>
      <c r="E39" s="19"/>
      <c r="F39" s="5"/>
      <c r="H39" s="19"/>
    </row>
    <row r="40">
      <c r="A40" s="39">
        <v>45087.0</v>
      </c>
      <c r="B40" s="4" t="s">
        <v>127</v>
      </c>
      <c r="C40" s="21">
        <v>2.1</v>
      </c>
      <c r="E40" s="19"/>
      <c r="F40" s="5"/>
      <c r="H40" s="19"/>
    </row>
    <row r="41">
      <c r="A41" s="39">
        <v>45087.0</v>
      </c>
      <c r="B41" s="4" t="s">
        <v>45</v>
      </c>
      <c r="C41" s="21">
        <f>15.45+6.1+3.53</f>
        <v>25.08</v>
      </c>
      <c r="E41" s="19"/>
      <c r="F41" s="5"/>
      <c r="H41" s="19"/>
    </row>
    <row r="42">
      <c r="A42" s="39">
        <v>45088.0</v>
      </c>
      <c r="B42" s="4" t="s">
        <v>47</v>
      </c>
      <c r="C42" s="21">
        <f>25.25-18</f>
        <v>7.25</v>
      </c>
      <c r="E42" s="19"/>
      <c r="F42" s="5"/>
      <c r="H42" s="19"/>
    </row>
    <row r="43">
      <c r="A43" s="39">
        <v>45088.0</v>
      </c>
      <c r="B43" s="4" t="s">
        <v>127</v>
      </c>
      <c r="C43" s="21">
        <v>7.7</v>
      </c>
      <c r="E43" s="19"/>
      <c r="F43" s="5"/>
      <c r="H43" s="19"/>
    </row>
    <row r="44">
      <c r="A44" s="39">
        <v>45088.0</v>
      </c>
      <c r="B44" s="4" t="s">
        <v>73</v>
      </c>
      <c r="C44" s="21">
        <v>12.99</v>
      </c>
      <c r="E44" s="19"/>
      <c r="F44" s="5"/>
      <c r="H44" s="19"/>
    </row>
    <row r="45">
      <c r="A45" s="39">
        <v>45090.0</v>
      </c>
      <c r="B45" s="4" t="s">
        <v>47</v>
      </c>
      <c r="C45" s="21">
        <v>7.6</v>
      </c>
      <c r="E45" s="19"/>
      <c r="F45" s="5"/>
      <c r="H45" s="19"/>
    </row>
    <row r="46">
      <c r="A46" s="39">
        <v>45090.0</v>
      </c>
      <c r="B46" s="4" t="s">
        <v>184</v>
      </c>
      <c r="C46" s="21">
        <v>11.25</v>
      </c>
      <c r="E46" s="19"/>
      <c r="F46" s="5"/>
      <c r="H46" s="19"/>
    </row>
    <row r="47">
      <c r="A47" s="39">
        <v>45092.0</v>
      </c>
      <c r="B47" s="4" t="s">
        <v>54</v>
      </c>
      <c r="C47" s="41">
        <v>1055.0</v>
      </c>
      <c r="E47" s="19"/>
      <c r="F47" s="5"/>
      <c r="H47" s="19"/>
    </row>
    <row r="48">
      <c r="A48" s="39">
        <v>45092.0</v>
      </c>
      <c r="B48" s="4" t="s">
        <v>119</v>
      </c>
      <c r="C48" s="21">
        <v>9.99</v>
      </c>
      <c r="E48" s="19"/>
      <c r="F48" s="5"/>
      <c r="H48" s="19"/>
    </row>
    <row r="49">
      <c r="A49" s="39">
        <v>45092.0</v>
      </c>
      <c r="B49" s="4" t="s">
        <v>209</v>
      </c>
      <c r="C49" s="21">
        <v>5.29</v>
      </c>
      <c r="E49" s="19"/>
      <c r="F49" s="5"/>
      <c r="H49" s="19"/>
    </row>
    <row r="50">
      <c r="A50" s="39">
        <v>45092.0</v>
      </c>
      <c r="B50" s="4" t="s">
        <v>140</v>
      </c>
      <c r="C50" s="21">
        <v>4.25</v>
      </c>
      <c r="E50" s="19"/>
      <c r="F50" s="5"/>
      <c r="H50" s="19"/>
    </row>
    <row r="51">
      <c r="A51" s="39">
        <v>45092.0</v>
      </c>
      <c r="B51" s="4" t="s">
        <v>210</v>
      </c>
      <c r="C51" s="21">
        <v>12.15</v>
      </c>
      <c r="E51" s="19"/>
      <c r="F51" s="5"/>
      <c r="H51" s="19"/>
    </row>
    <row r="52">
      <c r="A52" s="39">
        <v>45093.0</v>
      </c>
      <c r="B52" s="4" t="s">
        <v>399</v>
      </c>
      <c r="C52" s="21">
        <f>14.41+18.98</f>
        <v>33.39</v>
      </c>
      <c r="E52" s="19"/>
      <c r="F52" s="5"/>
      <c r="H52" s="19"/>
    </row>
    <row r="53">
      <c r="A53" s="39">
        <v>45093.0</v>
      </c>
      <c r="B53" s="4" t="s">
        <v>127</v>
      </c>
      <c r="C53" s="21">
        <v>8.1</v>
      </c>
      <c r="E53" s="19"/>
      <c r="F53" s="5"/>
      <c r="H53" s="19"/>
    </row>
    <row r="54">
      <c r="A54" s="39">
        <v>45093.0</v>
      </c>
      <c r="B54" s="4" t="s">
        <v>47</v>
      </c>
      <c r="C54" s="21">
        <v>10.7</v>
      </c>
      <c r="E54" s="19"/>
      <c r="F54" s="5"/>
      <c r="H54" s="19"/>
    </row>
    <row r="55">
      <c r="A55" s="39">
        <v>45094.0</v>
      </c>
      <c r="B55" s="4" t="s">
        <v>53</v>
      </c>
      <c r="C55" s="43">
        <f>24.49-12.26</f>
        <v>12.23</v>
      </c>
      <c r="E55" s="19"/>
      <c r="F55" s="5"/>
      <c r="H55" s="19"/>
    </row>
    <row r="56">
      <c r="A56" s="39">
        <v>45095.0</v>
      </c>
      <c r="B56" s="4" t="s">
        <v>54</v>
      </c>
      <c r="C56" s="21">
        <v>40.0</v>
      </c>
      <c r="E56" s="19"/>
      <c r="F56" s="5"/>
      <c r="H56" s="19"/>
    </row>
    <row r="57">
      <c r="A57" s="39">
        <v>45095.0</v>
      </c>
      <c r="B57" s="4" t="s">
        <v>477</v>
      </c>
      <c r="C57" s="21">
        <v>69.9</v>
      </c>
      <c r="E57" s="19"/>
      <c r="F57" s="5"/>
      <c r="H57" s="19"/>
    </row>
    <row r="58">
      <c r="A58" s="39">
        <v>45096.0</v>
      </c>
      <c r="B58" s="4" t="s">
        <v>127</v>
      </c>
      <c r="C58" s="21">
        <v>5.25</v>
      </c>
      <c r="E58" s="19"/>
      <c r="F58" s="5"/>
      <c r="H58" s="19"/>
    </row>
    <row r="59">
      <c r="A59" s="39">
        <v>45096.0</v>
      </c>
      <c r="B59" s="4" t="s">
        <v>53</v>
      </c>
      <c r="C59" s="21">
        <v>21.32</v>
      </c>
      <c r="E59" s="19"/>
      <c r="F59" s="5"/>
      <c r="H59" s="19"/>
    </row>
    <row r="60">
      <c r="A60" s="39">
        <v>45096.0</v>
      </c>
      <c r="B60" s="4" t="s">
        <v>47</v>
      </c>
      <c r="C60" s="21">
        <v>1.08</v>
      </c>
      <c r="E60" s="19"/>
      <c r="F60" s="5"/>
      <c r="H60" s="19"/>
    </row>
    <row r="61">
      <c r="A61" s="39">
        <v>45097.0</v>
      </c>
      <c r="B61" s="4" t="s">
        <v>209</v>
      </c>
      <c r="C61" s="21">
        <v>5.29</v>
      </c>
      <c r="E61" s="19"/>
      <c r="F61" s="5"/>
      <c r="H61" s="19"/>
    </row>
    <row r="62">
      <c r="A62" s="39">
        <v>45098.0</v>
      </c>
      <c r="B62" s="4" t="s">
        <v>127</v>
      </c>
      <c r="C62" s="21">
        <v>6.8</v>
      </c>
      <c r="E62" s="19"/>
      <c r="F62" s="5"/>
      <c r="H62" s="19"/>
    </row>
    <row r="63">
      <c r="A63" s="39">
        <v>45098.0</v>
      </c>
      <c r="B63" s="4" t="s">
        <v>47</v>
      </c>
      <c r="C63" s="21">
        <f>10.45+0.85</f>
        <v>11.3</v>
      </c>
      <c r="E63" s="19"/>
      <c r="F63" s="5"/>
      <c r="H63" s="19"/>
    </row>
    <row r="64">
      <c r="A64" s="39">
        <v>45099.0</v>
      </c>
      <c r="B64" s="4" t="s">
        <v>6</v>
      </c>
      <c r="C64" s="21">
        <v>250.0</v>
      </c>
      <c r="E64" s="19"/>
      <c r="F64" s="5"/>
      <c r="H64" s="19"/>
    </row>
    <row r="65">
      <c r="A65" s="39">
        <v>45099.0</v>
      </c>
      <c r="B65" s="4" t="s">
        <v>252</v>
      </c>
      <c r="C65" s="21">
        <v>40.81</v>
      </c>
      <c r="E65" s="19"/>
      <c r="F65" s="5"/>
      <c r="H65" s="19"/>
    </row>
    <row r="66">
      <c r="A66" s="39">
        <v>45099.0</v>
      </c>
      <c r="B66" s="4" t="s">
        <v>253</v>
      </c>
      <c r="C66" s="21">
        <v>49.0</v>
      </c>
      <c r="E66" s="19"/>
      <c r="F66" s="5"/>
      <c r="H66" s="19"/>
    </row>
    <row r="67">
      <c r="A67" s="39">
        <v>45100.0</v>
      </c>
      <c r="B67" s="4" t="s">
        <v>54</v>
      </c>
      <c r="C67" s="21">
        <v>30.0</v>
      </c>
      <c r="E67" s="19"/>
      <c r="F67" s="5"/>
      <c r="H67" s="19"/>
    </row>
    <row r="68">
      <c r="A68" s="39">
        <v>45099.0</v>
      </c>
      <c r="B68" s="4" t="s">
        <v>140</v>
      </c>
      <c r="C68" s="21">
        <v>11.28</v>
      </c>
      <c r="E68" s="19"/>
      <c r="F68" s="5"/>
      <c r="H68" s="19"/>
    </row>
    <row r="69">
      <c r="A69" s="39">
        <v>45101.0</v>
      </c>
      <c r="B69" s="4" t="s">
        <v>45</v>
      </c>
      <c r="C69" s="21">
        <v>13.9</v>
      </c>
      <c r="E69" s="19"/>
      <c r="F69" s="5"/>
      <c r="H69" s="19"/>
    </row>
    <row r="70">
      <c r="A70" s="39">
        <v>45102.0</v>
      </c>
      <c r="B70" s="4" t="s">
        <v>57</v>
      </c>
      <c r="C70" s="21">
        <v>8.38</v>
      </c>
      <c r="E70" s="19"/>
      <c r="F70" s="5"/>
      <c r="H70" s="19"/>
    </row>
    <row r="71">
      <c r="A71" s="39">
        <v>45102.0</v>
      </c>
      <c r="B71" s="4" t="s">
        <v>119</v>
      </c>
      <c r="C71" s="21">
        <v>7.49</v>
      </c>
      <c r="E71" s="19"/>
      <c r="F71" s="5"/>
      <c r="H71" s="19"/>
    </row>
    <row r="72">
      <c r="A72" s="39">
        <v>45101.0</v>
      </c>
      <c r="B72" s="4" t="s">
        <v>45</v>
      </c>
      <c r="C72" s="21">
        <v>6.95</v>
      </c>
      <c r="E72" s="19"/>
      <c r="F72" s="5"/>
      <c r="H72" s="19"/>
    </row>
    <row r="73">
      <c r="A73" s="39">
        <v>45101.0</v>
      </c>
      <c r="B73" s="4" t="s">
        <v>127</v>
      </c>
      <c r="C73" s="21">
        <v>1.8</v>
      </c>
      <c r="E73" s="19"/>
      <c r="F73" s="5"/>
      <c r="H73" s="19"/>
    </row>
    <row r="74">
      <c r="A74" s="39">
        <v>45102.0</v>
      </c>
      <c r="B74" s="4" t="s">
        <v>127</v>
      </c>
      <c r="C74" s="21">
        <v>1.9</v>
      </c>
      <c r="E74" s="19"/>
      <c r="F74" s="5"/>
      <c r="H74" s="19"/>
    </row>
    <row r="75">
      <c r="A75" s="39">
        <v>45100.0</v>
      </c>
      <c r="B75" s="4" t="s">
        <v>47</v>
      </c>
      <c r="C75" s="21">
        <v>5.4</v>
      </c>
      <c r="E75" s="19"/>
      <c r="F75" s="5"/>
      <c r="H75" s="19"/>
    </row>
    <row r="76">
      <c r="A76" s="39">
        <v>45100.0</v>
      </c>
      <c r="B76" s="4" t="s">
        <v>56</v>
      </c>
      <c r="C76" s="21">
        <v>1.15</v>
      </c>
      <c r="E76" s="19"/>
      <c r="F76" s="5"/>
      <c r="H76" s="19"/>
    </row>
    <row r="77">
      <c r="A77" s="39">
        <v>45101.0</v>
      </c>
      <c r="B77" s="4" t="s">
        <v>478</v>
      </c>
      <c r="C77" s="21">
        <v>8.95</v>
      </c>
      <c r="E77" s="19"/>
      <c r="F77" s="5"/>
      <c r="H77" s="19"/>
    </row>
    <row r="78">
      <c r="A78" s="39">
        <v>45101.0</v>
      </c>
      <c r="B78" s="4" t="s">
        <v>73</v>
      </c>
      <c r="C78" s="21">
        <v>8.25</v>
      </c>
      <c r="E78" s="19"/>
      <c r="F78" s="5"/>
      <c r="H78" s="19"/>
    </row>
    <row r="79">
      <c r="A79" s="39">
        <v>45106.0</v>
      </c>
      <c r="B79" s="4" t="s">
        <v>140</v>
      </c>
      <c r="C79" s="21">
        <v>10.5</v>
      </c>
      <c r="E79" s="19"/>
      <c r="F79" s="5"/>
      <c r="H79" s="19"/>
    </row>
    <row r="80">
      <c r="A80" s="39">
        <v>45104.0</v>
      </c>
      <c r="B80" s="4" t="s">
        <v>479</v>
      </c>
      <c r="C80" s="21">
        <v>8.48</v>
      </c>
      <c r="E80" s="19"/>
      <c r="F80" s="5"/>
      <c r="H80" s="19"/>
    </row>
    <row r="81">
      <c r="A81" s="39">
        <v>45102.0</v>
      </c>
      <c r="B81" s="4" t="s">
        <v>127</v>
      </c>
      <c r="C81" s="21">
        <v>6.0</v>
      </c>
      <c r="E81" s="19"/>
      <c r="F81" s="5"/>
      <c r="H81" s="19"/>
    </row>
    <row r="82">
      <c r="A82" s="39">
        <v>45103.0</v>
      </c>
      <c r="B82" s="4" t="s">
        <v>59</v>
      </c>
      <c r="C82" s="21">
        <v>30.0</v>
      </c>
      <c r="E82" s="19"/>
      <c r="F82" s="5"/>
      <c r="H82" s="19"/>
    </row>
    <row r="83">
      <c r="A83" s="39">
        <v>45104.0</v>
      </c>
      <c r="B83" s="4" t="s">
        <v>47</v>
      </c>
      <c r="C83" s="21">
        <v>13.85</v>
      </c>
      <c r="E83" s="19"/>
      <c r="F83" s="5"/>
      <c r="H83" s="19"/>
    </row>
    <row r="84">
      <c r="A84" s="39">
        <v>45107.0</v>
      </c>
      <c r="B84" s="4" t="s">
        <v>54</v>
      </c>
      <c r="C84" s="21">
        <v>20.0</v>
      </c>
      <c r="E84" s="19"/>
      <c r="F84" s="5"/>
      <c r="H84" s="19"/>
    </row>
    <row r="85">
      <c r="A85" s="39">
        <v>45107.0</v>
      </c>
      <c r="B85" s="4" t="s">
        <v>127</v>
      </c>
      <c r="C85" s="21">
        <v>6.8</v>
      </c>
      <c r="E85" s="19"/>
      <c r="F85" s="5"/>
      <c r="H85" s="19"/>
    </row>
    <row r="86">
      <c r="A86" s="39">
        <v>45106.0</v>
      </c>
      <c r="B86" s="4" t="s">
        <v>209</v>
      </c>
      <c r="C86" s="21">
        <v>5.29</v>
      </c>
      <c r="E86" s="19"/>
      <c r="F86" s="5"/>
      <c r="H86" s="19"/>
    </row>
    <row r="87">
      <c r="A87" s="39">
        <v>45106.0</v>
      </c>
      <c r="B87" s="4" t="s">
        <v>56</v>
      </c>
      <c r="C87" s="21">
        <v>3.5</v>
      </c>
      <c r="E87" s="19"/>
      <c r="F87" s="5"/>
      <c r="H87" s="19"/>
    </row>
    <row r="88">
      <c r="A88" s="39"/>
      <c r="C88" s="21"/>
      <c r="E88" s="19"/>
      <c r="F88" s="5"/>
      <c r="H88" s="19"/>
    </row>
    <row r="89">
      <c r="A89" s="39"/>
      <c r="C89" s="21"/>
      <c r="E89" s="19"/>
      <c r="F89" s="5"/>
      <c r="H89" s="19"/>
    </row>
    <row r="90">
      <c r="A90" s="39"/>
      <c r="C90" s="21"/>
      <c r="E90" s="19"/>
      <c r="F90" s="5"/>
      <c r="H90" s="19"/>
    </row>
    <row r="91">
      <c r="A91" s="39"/>
      <c r="C91" s="21"/>
      <c r="E91" s="19"/>
      <c r="F91" s="5"/>
      <c r="H91" s="19"/>
    </row>
    <row r="92">
      <c r="A92" s="39"/>
      <c r="C92" s="21"/>
      <c r="E92" s="19"/>
      <c r="F92" s="5"/>
      <c r="H92" s="19"/>
    </row>
    <row r="93">
      <c r="A93" s="39"/>
      <c r="C93" s="21"/>
      <c r="E93" s="19"/>
      <c r="F93" s="5"/>
      <c r="H93" s="19"/>
    </row>
    <row r="94">
      <c r="A94" s="39"/>
      <c r="C94" s="21"/>
      <c r="E94" s="19"/>
      <c r="F94" s="5"/>
      <c r="H94" s="19"/>
    </row>
    <row r="95">
      <c r="A95" s="39"/>
      <c r="C95" s="21"/>
      <c r="E95" s="19"/>
      <c r="F95" s="5"/>
      <c r="H95" s="19"/>
    </row>
    <row r="96">
      <c r="A96" s="39"/>
      <c r="C96" s="21"/>
      <c r="E96" s="19"/>
      <c r="F96" s="5"/>
      <c r="H96" s="19"/>
    </row>
    <row r="97">
      <c r="A97" s="39"/>
      <c r="C97" s="21"/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0">
    <cfRule type="cellIs" dxfId="3" priority="3" operator="greaterThan">
      <formula>0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367.59</v>
      </c>
      <c r="H1" s="1" t="s">
        <v>46</v>
      </c>
      <c r="I1" s="5">
        <f>I5-I6</f>
        <v>-183.81</v>
      </c>
      <c r="J1" s="19"/>
      <c r="K1" s="1" t="s">
        <v>47</v>
      </c>
      <c r="L1" s="5">
        <f t="shared" ref="L1:L4" si="1">SUMIF(B:B,K1,C:I)</f>
        <v>88.96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45047.0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31.52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75.93</v>
      </c>
      <c r="N2" s="39">
        <v>45047.0</v>
      </c>
      <c r="O2" s="40">
        <f t="shared" ref="O2:O32" si="2">sumif(A:A,N2,C:C)</f>
        <v>392.53</v>
      </c>
      <c r="P2" s="5">
        <f>SUM(O2)-C2</f>
        <v>142.53</v>
      </c>
    </row>
    <row r="3">
      <c r="A3" s="39">
        <v>45047.0</v>
      </c>
      <c r="B3" s="4" t="s">
        <v>481</v>
      </c>
      <c r="C3" s="21">
        <v>45.0</v>
      </c>
      <c r="E3" s="1" t="s">
        <v>209</v>
      </c>
      <c r="F3" s="5">
        <f>SUMIF(B:B,"Pret",C:C)+SUMIF(B:B,"Breakfast",C:C)</f>
        <v>21.27</v>
      </c>
      <c r="H3" s="1" t="s">
        <v>8</v>
      </c>
      <c r="I3" s="5">
        <f>SUMIF(B:B,H3,C:C)+I1</f>
        <v>66.19</v>
      </c>
      <c r="K3" s="1" t="s">
        <v>56</v>
      </c>
      <c r="L3" s="5">
        <f t="shared" si="1"/>
        <v>10.7</v>
      </c>
      <c r="N3" s="39">
        <v>45048.0</v>
      </c>
      <c r="O3" s="40">
        <f t="shared" si="2"/>
        <v>80.22</v>
      </c>
      <c r="P3" s="5">
        <f t="shared" ref="P3:P32" si="3">P2+O3</f>
        <v>222.75</v>
      </c>
    </row>
    <row r="4">
      <c r="A4" s="39">
        <v>45047.0</v>
      </c>
      <c r="B4" s="4" t="s">
        <v>263</v>
      </c>
      <c r="C4" s="21">
        <v>17.33</v>
      </c>
      <c r="E4" s="1" t="s">
        <v>140</v>
      </c>
      <c r="F4" s="5">
        <f>SUMIF(B:B,E4,C:C)</f>
        <v>47.01</v>
      </c>
      <c r="K4" s="1" t="s">
        <v>59</v>
      </c>
      <c r="L4" s="5">
        <f t="shared" si="1"/>
        <v>16.19</v>
      </c>
      <c r="N4" s="39">
        <v>45049.0</v>
      </c>
      <c r="O4" s="40">
        <f t="shared" si="2"/>
        <v>24.43</v>
      </c>
      <c r="P4" s="5">
        <f t="shared" si="3"/>
        <v>247.18</v>
      </c>
    </row>
    <row r="5">
      <c r="A5" s="39">
        <v>45047.0</v>
      </c>
      <c r="B5" s="4" t="s">
        <v>47</v>
      </c>
      <c r="C5" s="21">
        <v>6.25</v>
      </c>
      <c r="E5" s="1" t="s">
        <v>57</v>
      </c>
      <c r="F5" s="5">
        <f>sum(L:L)</f>
        <v>191.78</v>
      </c>
      <c r="H5" s="1" t="s">
        <v>65</v>
      </c>
      <c r="I5" s="49">
        <v>2705.67</v>
      </c>
      <c r="N5" s="39">
        <v>45050.0</v>
      </c>
      <c r="O5" s="40">
        <f t="shared" si="2"/>
        <v>8.8</v>
      </c>
      <c r="P5" s="5">
        <f t="shared" si="3"/>
        <v>255.98</v>
      </c>
    </row>
    <row r="6">
      <c r="A6" s="39">
        <v>45047.0</v>
      </c>
      <c r="B6" s="4" t="s">
        <v>45</v>
      </c>
      <c r="C6" s="21">
        <v>11.0</v>
      </c>
      <c r="E6" s="42" t="s">
        <v>61</v>
      </c>
      <c r="F6" s="5">
        <f>SUMIF(B:B,"Games",C:C)+SUMIF(B:B,"Spotify",C:C)+SUMIF(B:B,"Disney+",C:C)+SUMIF(B:B,"Book",C:C)+SUMIF(B:B,"Audible",C:C)</f>
        <v>72.88</v>
      </c>
      <c r="H6" s="1" t="s">
        <v>68</v>
      </c>
      <c r="I6" s="5">
        <f>sum(C:C)</f>
        <v>2889.48</v>
      </c>
      <c r="N6" s="39">
        <v>45051.0</v>
      </c>
      <c r="O6" s="40">
        <f t="shared" si="2"/>
        <v>83.34</v>
      </c>
      <c r="P6" s="5">
        <f t="shared" si="3"/>
        <v>339.32</v>
      </c>
    </row>
    <row r="7">
      <c r="A7" s="39">
        <v>45047.0</v>
      </c>
      <c r="B7" s="4" t="s">
        <v>140</v>
      </c>
      <c r="C7" s="21">
        <v>11.0</v>
      </c>
      <c r="E7" s="1" t="s">
        <v>64</v>
      </c>
      <c r="F7" s="5">
        <f>SUMIF(B:B,E7,C:C)+SUMIF(B:B,"Shoes",C:C)</f>
        <v>34.26</v>
      </c>
      <c r="H7" s="1" t="s">
        <v>72</v>
      </c>
      <c r="I7" s="5">
        <f>sum(F:F)+I2+I3</f>
        <v>2405.86</v>
      </c>
      <c r="N7" s="39">
        <v>45052.0</v>
      </c>
      <c r="O7" s="40">
        <f t="shared" si="2"/>
        <v>99.9</v>
      </c>
      <c r="P7" s="5">
        <f t="shared" si="3"/>
        <v>439.22</v>
      </c>
    </row>
    <row r="8">
      <c r="A8" s="39">
        <v>45047.0</v>
      </c>
      <c r="B8" s="4" t="s">
        <v>482</v>
      </c>
      <c r="C8" s="21">
        <v>1.5</v>
      </c>
      <c r="E8" s="1" t="s">
        <v>54</v>
      </c>
      <c r="F8" s="5">
        <f>SUMIF(B:B,E8,C:C)+SUMIF(B:B,"Phone",C:C)</f>
        <v>1125.81</v>
      </c>
      <c r="H8" s="1" t="s">
        <v>74</v>
      </c>
      <c r="I8" s="5">
        <f>I6-I7</f>
        <v>483.62</v>
      </c>
      <c r="N8" s="39">
        <v>45053.0</v>
      </c>
      <c r="O8" s="40">
        <f t="shared" si="2"/>
        <v>21.07</v>
      </c>
      <c r="P8" s="5">
        <f t="shared" si="3"/>
        <v>460.29</v>
      </c>
    </row>
    <row r="9">
      <c r="A9" s="39">
        <v>45047.0</v>
      </c>
      <c r="B9" s="4" t="s">
        <v>45</v>
      </c>
      <c r="C9" s="21">
        <v>11.8</v>
      </c>
      <c r="E9" s="1" t="s">
        <v>127</v>
      </c>
      <c r="F9" s="5">
        <f>SUMIF(B:B,E9,C:C)</f>
        <v>85.05</v>
      </c>
      <c r="H9" s="1"/>
      <c r="N9" s="39">
        <v>45054.0</v>
      </c>
      <c r="O9" s="40">
        <f t="shared" si="2"/>
        <v>16.2</v>
      </c>
      <c r="P9" s="5">
        <f t="shared" si="3"/>
        <v>476.49</v>
      </c>
    </row>
    <row r="10">
      <c r="A10" s="39">
        <v>45047.0</v>
      </c>
      <c r="B10" s="4" t="s">
        <v>127</v>
      </c>
      <c r="C10" s="21">
        <v>1.75</v>
      </c>
      <c r="E10" s="1" t="s">
        <v>164</v>
      </c>
      <c r="F10" s="48">
        <f>SUMIF(B:B,"Cigs",C:C)</f>
        <v>23.5</v>
      </c>
      <c r="H10" s="53" t="s">
        <v>3</v>
      </c>
      <c r="I10" s="54">
        <f>(I3+I2)/I5</f>
        <v>0.1168619972</v>
      </c>
      <c r="N10" s="39">
        <v>45055.0</v>
      </c>
      <c r="O10" s="40">
        <f t="shared" si="2"/>
        <v>26.56</v>
      </c>
      <c r="P10" s="5">
        <f t="shared" si="3"/>
        <v>503.05</v>
      </c>
    </row>
    <row r="11">
      <c r="A11" s="39">
        <v>45047.0</v>
      </c>
      <c r="B11" s="4" t="s">
        <v>483</v>
      </c>
      <c r="C11" s="21">
        <v>36.9</v>
      </c>
      <c r="E11" s="1" t="s">
        <v>73</v>
      </c>
      <c r="F11" s="5">
        <f>SUMIF(B:B,"Uber",C:C)</f>
        <v>0</v>
      </c>
      <c r="N11" s="39">
        <v>45056.0</v>
      </c>
      <c r="O11" s="40">
        <f t="shared" si="2"/>
        <v>18.44</v>
      </c>
      <c r="P11" s="5">
        <f t="shared" si="3"/>
        <v>521.49</v>
      </c>
    </row>
    <row r="12">
      <c r="A12" s="39">
        <v>45048.0</v>
      </c>
      <c r="B12" s="4" t="s">
        <v>127</v>
      </c>
      <c r="C12" s="21">
        <v>2.8</v>
      </c>
      <c r="E12" s="1" t="s">
        <v>75</v>
      </c>
      <c r="F12" s="40">
        <f>SUMIF(B:B,"Gym",C:C)+SUMIF(B:B,"Climbing",C:C)</f>
        <v>89</v>
      </c>
      <c r="N12" s="39">
        <v>45057.0</v>
      </c>
      <c r="O12" s="40">
        <f t="shared" si="2"/>
        <v>27.66</v>
      </c>
      <c r="P12" s="5">
        <f t="shared" si="3"/>
        <v>549.15</v>
      </c>
    </row>
    <row r="13">
      <c r="A13" s="39">
        <v>45048.0</v>
      </c>
      <c r="B13" s="4" t="s">
        <v>52</v>
      </c>
      <c r="C13" s="21">
        <v>8.18</v>
      </c>
      <c r="N13" s="39">
        <v>45058.0</v>
      </c>
      <c r="O13" s="40">
        <f t="shared" si="2"/>
        <v>11.85</v>
      </c>
      <c r="P13" s="5">
        <f t="shared" si="3"/>
        <v>561</v>
      </c>
    </row>
    <row r="14">
      <c r="A14" s="39">
        <v>45048.0</v>
      </c>
      <c r="B14" s="4" t="s">
        <v>230</v>
      </c>
      <c r="C14" s="21">
        <v>59.99</v>
      </c>
      <c r="H14" s="19"/>
      <c r="N14" s="39">
        <v>45059.0</v>
      </c>
      <c r="O14" s="40">
        <f t="shared" si="2"/>
        <v>86.82</v>
      </c>
      <c r="P14" s="5">
        <f t="shared" si="3"/>
        <v>647.82</v>
      </c>
    </row>
    <row r="15">
      <c r="A15" s="39">
        <v>45048.0</v>
      </c>
      <c r="B15" s="4" t="s">
        <v>47</v>
      </c>
      <c r="C15" s="21">
        <v>9.25</v>
      </c>
      <c r="H15" s="19"/>
      <c r="N15" s="39">
        <v>45060.0</v>
      </c>
      <c r="O15" s="40">
        <f t="shared" si="2"/>
        <v>67.2</v>
      </c>
      <c r="P15" s="5">
        <f t="shared" si="3"/>
        <v>715.02</v>
      </c>
    </row>
    <row r="16">
      <c r="A16" s="39">
        <v>45049.0</v>
      </c>
      <c r="B16" s="4" t="s">
        <v>64</v>
      </c>
      <c r="C16" s="21">
        <v>16.93</v>
      </c>
      <c r="H16" s="19"/>
      <c r="N16" s="39">
        <v>45061.0</v>
      </c>
      <c r="O16" s="40">
        <f t="shared" si="2"/>
        <v>1065.84</v>
      </c>
      <c r="P16" s="5">
        <f t="shared" si="3"/>
        <v>1780.86</v>
      </c>
    </row>
    <row r="17">
      <c r="A17" s="39">
        <v>45049.0</v>
      </c>
      <c r="B17" s="4" t="s">
        <v>47</v>
      </c>
      <c r="C17" s="21">
        <v>7.5</v>
      </c>
      <c r="H17" s="19"/>
      <c r="N17" s="39">
        <v>45062.0</v>
      </c>
      <c r="O17" s="40">
        <f t="shared" si="2"/>
        <v>21.78</v>
      </c>
      <c r="P17" s="5">
        <f t="shared" si="3"/>
        <v>1802.64</v>
      </c>
    </row>
    <row r="18">
      <c r="A18" s="39">
        <v>45050.0</v>
      </c>
      <c r="B18" s="4" t="s">
        <v>140</v>
      </c>
      <c r="C18" s="21">
        <v>7.75</v>
      </c>
      <c r="H18" s="19"/>
      <c r="N18" s="39">
        <v>45063.0</v>
      </c>
      <c r="O18" s="40">
        <f t="shared" si="2"/>
        <v>58.39</v>
      </c>
      <c r="P18" s="5">
        <f t="shared" si="3"/>
        <v>1861.03</v>
      </c>
    </row>
    <row r="19">
      <c r="A19" s="39">
        <v>45050.0</v>
      </c>
      <c r="B19" s="4" t="s">
        <v>47</v>
      </c>
      <c r="C19" s="21">
        <v>1.05</v>
      </c>
      <c r="H19" s="19"/>
      <c r="N19" s="39">
        <v>45064.0</v>
      </c>
      <c r="O19" s="40">
        <f t="shared" si="2"/>
        <v>11.76</v>
      </c>
      <c r="P19" s="5">
        <f t="shared" si="3"/>
        <v>1872.79</v>
      </c>
    </row>
    <row r="20">
      <c r="A20" s="39">
        <v>45051.0</v>
      </c>
      <c r="B20" s="4" t="s">
        <v>45</v>
      </c>
      <c r="C20" s="21">
        <f>21.8+8+1+45</f>
        <v>75.8</v>
      </c>
      <c r="H20" s="19"/>
      <c r="N20" s="39">
        <v>45065.0</v>
      </c>
      <c r="O20" s="40">
        <f t="shared" si="2"/>
        <v>66.36</v>
      </c>
      <c r="P20" s="5">
        <f t="shared" si="3"/>
        <v>1939.15</v>
      </c>
    </row>
    <row r="21">
      <c r="A21" s="39">
        <v>45051.0</v>
      </c>
      <c r="B21" s="4" t="s">
        <v>56</v>
      </c>
      <c r="C21" s="21">
        <v>2.25</v>
      </c>
      <c r="E21" s="19"/>
      <c r="F21" s="5"/>
      <c r="H21" s="19"/>
      <c r="N21" s="39">
        <v>45066.0</v>
      </c>
      <c r="O21" s="40">
        <f t="shared" si="2"/>
        <v>66.25</v>
      </c>
      <c r="P21" s="5">
        <f t="shared" si="3"/>
        <v>2005.4</v>
      </c>
    </row>
    <row r="22">
      <c r="A22" s="39">
        <v>45051.0</v>
      </c>
      <c r="B22" s="4" t="s">
        <v>209</v>
      </c>
      <c r="C22" s="21">
        <v>5.29</v>
      </c>
      <c r="E22" s="19"/>
      <c r="F22" s="5"/>
      <c r="H22" s="19"/>
      <c r="N22" s="39">
        <v>45067.0</v>
      </c>
      <c r="O22" s="40">
        <f t="shared" si="2"/>
        <v>87.97</v>
      </c>
      <c r="P22" s="5">
        <f t="shared" si="3"/>
        <v>2093.37</v>
      </c>
    </row>
    <row r="23">
      <c r="A23" s="39">
        <v>45052.0</v>
      </c>
      <c r="B23" s="4" t="s">
        <v>207</v>
      </c>
      <c r="C23" s="21">
        <v>70.0</v>
      </c>
      <c r="E23" s="19"/>
      <c r="F23" s="5"/>
      <c r="H23" s="19"/>
      <c r="N23" s="39">
        <v>45068.0</v>
      </c>
      <c r="O23" s="40">
        <f t="shared" si="2"/>
        <v>391.91</v>
      </c>
      <c r="P23" s="5">
        <f t="shared" si="3"/>
        <v>2485.28</v>
      </c>
    </row>
    <row r="24">
      <c r="A24" s="39">
        <v>45052.0</v>
      </c>
      <c r="B24" s="4" t="s">
        <v>260</v>
      </c>
      <c r="C24" s="21">
        <v>20.0</v>
      </c>
      <c r="E24" s="19"/>
      <c r="F24" s="5"/>
      <c r="H24" s="19"/>
      <c r="N24" s="39">
        <v>45069.0</v>
      </c>
      <c r="O24" s="40">
        <f t="shared" si="2"/>
        <v>11.8</v>
      </c>
      <c r="P24" s="5">
        <f t="shared" si="3"/>
        <v>2497.08</v>
      </c>
    </row>
    <row r="25">
      <c r="A25" s="39">
        <v>45052.0</v>
      </c>
      <c r="B25" s="4" t="s">
        <v>127</v>
      </c>
      <c r="C25" s="21">
        <f>5.2+4.7</f>
        <v>9.9</v>
      </c>
      <c r="E25" s="19"/>
      <c r="F25" s="5"/>
      <c r="H25" s="19"/>
      <c r="N25" s="39">
        <v>45070.0</v>
      </c>
      <c r="O25" s="40">
        <f t="shared" si="2"/>
        <v>14.27</v>
      </c>
      <c r="P25" s="5">
        <f t="shared" si="3"/>
        <v>2511.35</v>
      </c>
    </row>
    <row r="26">
      <c r="A26" s="39">
        <v>45053.0</v>
      </c>
      <c r="B26" s="4" t="s">
        <v>53</v>
      </c>
      <c r="C26" s="21">
        <v>21.07</v>
      </c>
      <c r="E26" s="19"/>
      <c r="F26" s="5"/>
      <c r="H26" s="19"/>
      <c r="N26" s="39">
        <v>45071.0</v>
      </c>
      <c r="O26" s="40">
        <f t="shared" si="2"/>
        <v>8.2</v>
      </c>
      <c r="P26" s="5">
        <f t="shared" si="3"/>
        <v>2519.55</v>
      </c>
    </row>
    <row r="27">
      <c r="A27" s="39">
        <v>45054.0</v>
      </c>
      <c r="B27" s="4" t="s">
        <v>47</v>
      </c>
      <c r="C27" s="21">
        <v>6.8</v>
      </c>
      <c r="E27" s="19"/>
      <c r="F27" s="5"/>
      <c r="H27" s="19"/>
      <c r="N27" s="39">
        <v>45072.0</v>
      </c>
      <c r="O27" s="40">
        <f t="shared" si="2"/>
        <v>3</v>
      </c>
      <c r="P27" s="5">
        <f t="shared" si="3"/>
        <v>2522.55</v>
      </c>
    </row>
    <row r="28">
      <c r="A28" s="39">
        <v>45054.0</v>
      </c>
      <c r="B28" s="4" t="s">
        <v>52</v>
      </c>
      <c r="C28" s="21">
        <v>7.5</v>
      </c>
      <c r="E28" s="19"/>
      <c r="F28" s="5"/>
      <c r="H28" s="19"/>
      <c r="N28" s="39">
        <v>45073.0</v>
      </c>
      <c r="O28" s="40">
        <f t="shared" si="2"/>
        <v>17.29</v>
      </c>
      <c r="P28" s="5">
        <f t="shared" si="3"/>
        <v>2539.84</v>
      </c>
    </row>
    <row r="29">
      <c r="A29" s="39">
        <v>45054.0</v>
      </c>
      <c r="B29" s="4" t="s">
        <v>127</v>
      </c>
      <c r="C29" s="21">
        <v>1.9</v>
      </c>
      <c r="E29" s="19"/>
      <c r="F29" s="5"/>
      <c r="H29" s="19"/>
      <c r="N29" s="39">
        <v>45074.0</v>
      </c>
      <c r="O29" s="40">
        <f t="shared" si="2"/>
        <v>44</v>
      </c>
      <c r="P29" s="5">
        <f t="shared" si="3"/>
        <v>2583.84</v>
      </c>
    </row>
    <row r="30">
      <c r="A30" s="39">
        <v>45055.0</v>
      </c>
      <c r="B30" s="4" t="s">
        <v>253</v>
      </c>
      <c r="C30" s="21">
        <v>18.0</v>
      </c>
      <c r="E30" s="19"/>
      <c r="F30" s="5"/>
      <c r="H30" s="19"/>
      <c r="N30" s="39">
        <v>45075.0</v>
      </c>
      <c r="O30" s="40">
        <f t="shared" si="2"/>
        <v>21.2</v>
      </c>
      <c r="P30" s="5">
        <f t="shared" si="3"/>
        <v>2605.04</v>
      </c>
    </row>
    <row r="31">
      <c r="A31" s="39">
        <v>45055.0</v>
      </c>
      <c r="B31" s="4" t="s">
        <v>53</v>
      </c>
      <c r="C31" s="21">
        <v>8.56</v>
      </c>
      <c r="E31" s="19"/>
      <c r="F31" s="5"/>
      <c r="H31" s="19"/>
      <c r="N31" s="39">
        <v>45076.0</v>
      </c>
      <c r="O31" s="40">
        <f t="shared" si="2"/>
        <v>30.94</v>
      </c>
      <c r="P31" s="5">
        <f t="shared" si="3"/>
        <v>2635.98</v>
      </c>
    </row>
    <row r="32">
      <c r="A32" s="39">
        <v>45056.0</v>
      </c>
      <c r="B32" s="4" t="s">
        <v>209</v>
      </c>
      <c r="C32" s="21">
        <v>5.29</v>
      </c>
      <c r="E32" s="19"/>
      <c r="F32" s="5"/>
      <c r="H32" s="19"/>
      <c r="N32" s="39">
        <v>45077.0</v>
      </c>
      <c r="O32" s="40">
        <f t="shared" si="2"/>
        <v>3.5</v>
      </c>
      <c r="P32" s="5">
        <f t="shared" si="3"/>
        <v>2639.48</v>
      </c>
    </row>
    <row r="33">
      <c r="A33" s="39">
        <v>45056.0</v>
      </c>
      <c r="B33" s="4" t="s">
        <v>140</v>
      </c>
      <c r="C33" s="21">
        <v>10.9</v>
      </c>
      <c r="E33" s="19"/>
      <c r="F33" s="5"/>
      <c r="H33" s="19"/>
      <c r="N33" s="39"/>
    </row>
    <row r="34">
      <c r="A34" s="39">
        <v>45056.0</v>
      </c>
      <c r="B34" s="4" t="s">
        <v>56</v>
      </c>
      <c r="C34" s="21">
        <v>2.25</v>
      </c>
      <c r="E34" s="19"/>
      <c r="F34" s="5"/>
      <c r="H34" s="19"/>
    </row>
    <row r="35">
      <c r="A35" s="39">
        <v>45057.0</v>
      </c>
      <c r="B35" s="4" t="s">
        <v>479</v>
      </c>
      <c r="C35" s="21">
        <v>11.51</v>
      </c>
      <c r="E35" s="19"/>
      <c r="F35" s="5"/>
      <c r="H35" s="19"/>
    </row>
    <row r="36">
      <c r="A36" s="39">
        <v>45057.0</v>
      </c>
      <c r="B36" s="4" t="s">
        <v>47</v>
      </c>
      <c r="C36" s="21">
        <v>7.55</v>
      </c>
      <c r="E36" s="19"/>
      <c r="F36" s="5"/>
      <c r="H36" s="19"/>
    </row>
    <row r="37">
      <c r="A37" s="39">
        <v>45057.0</v>
      </c>
      <c r="B37" s="4" t="s">
        <v>127</v>
      </c>
      <c r="C37" s="21">
        <v>6.2</v>
      </c>
      <c r="E37" s="19"/>
      <c r="F37" s="5"/>
      <c r="H37" s="19"/>
    </row>
    <row r="38">
      <c r="A38" s="39">
        <v>45057.0</v>
      </c>
      <c r="B38" s="4" t="s">
        <v>47</v>
      </c>
      <c r="C38" s="21">
        <v>2.4</v>
      </c>
      <c r="E38" s="19"/>
      <c r="F38" s="5"/>
      <c r="H38" s="19"/>
    </row>
    <row r="39">
      <c r="A39" s="39">
        <v>45058.0</v>
      </c>
      <c r="B39" s="4" t="s">
        <v>52</v>
      </c>
      <c r="C39" s="21">
        <v>11.85</v>
      </c>
      <c r="E39" s="19"/>
      <c r="F39" s="5"/>
      <c r="H39" s="19"/>
    </row>
    <row r="40">
      <c r="A40" s="39">
        <v>45059.0</v>
      </c>
      <c r="B40" s="4" t="s">
        <v>45</v>
      </c>
      <c r="C40" s="21">
        <v>6.2</v>
      </c>
      <c r="E40" s="19"/>
      <c r="F40" s="5"/>
      <c r="H40" s="19"/>
    </row>
    <row r="41">
      <c r="A41" s="39">
        <v>45059.0</v>
      </c>
      <c r="B41" s="4" t="s">
        <v>45</v>
      </c>
      <c r="C41" s="21">
        <v>42.83</v>
      </c>
      <c r="E41" s="19"/>
      <c r="F41" s="5"/>
      <c r="H41" s="19"/>
    </row>
    <row r="42">
      <c r="A42" s="39">
        <v>45059.0</v>
      </c>
      <c r="B42" s="4" t="s">
        <v>59</v>
      </c>
      <c r="C42" s="21">
        <v>11.49</v>
      </c>
      <c r="E42" s="19"/>
      <c r="F42" s="5"/>
      <c r="H42" s="19"/>
    </row>
    <row r="43">
      <c r="A43" s="39">
        <v>45059.0</v>
      </c>
      <c r="B43" s="4" t="s">
        <v>127</v>
      </c>
      <c r="C43" s="21">
        <v>2.8</v>
      </c>
      <c r="E43" s="19"/>
      <c r="F43" s="5"/>
      <c r="H43" s="19"/>
    </row>
    <row r="44">
      <c r="A44" s="39">
        <v>45059.0</v>
      </c>
      <c r="B44" s="4" t="s">
        <v>164</v>
      </c>
      <c r="C44" s="21">
        <v>23.5</v>
      </c>
      <c r="E44" s="19"/>
      <c r="F44" s="5"/>
      <c r="H44" s="19"/>
    </row>
    <row r="45">
      <c r="A45" s="39">
        <v>45060.0</v>
      </c>
      <c r="B45" s="4" t="s">
        <v>45</v>
      </c>
      <c r="C45" s="21">
        <v>7.6</v>
      </c>
      <c r="E45" s="19"/>
      <c r="F45" s="5"/>
      <c r="H45" s="19"/>
    </row>
    <row r="46">
      <c r="A46" s="39">
        <v>45060.0</v>
      </c>
      <c r="B46" s="4" t="s">
        <v>45</v>
      </c>
      <c r="C46" s="21">
        <v>19.3</v>
      </c>
      <c r="E46" s="19"/>
      <c r="F46" s="5"/>
      <c r="H46" s="19"/>
    </row>
    <row r="47">
      <c r="A47" s="39">
        <v>45060.0</v>
      </c>
      <c r="B47" s="4" t="s">
        <v>127</v>
      </c>
      <c r="C47" s="21">
        <v>8.1</v>
      </c>
      <c r="E47" s="19"/>
      <c r="F47" s="5"/>
      <c r="H47" s="19"/>
    </row>
    <row r="48">
      <c r="A48" s="39">
        <v>45060.0</v>
      </c>
      <c r="B48" s="4" t="s">
        <v>127</v>
      </c>
      <c r="C48" s="4">
        <v>4.6</v>
      </c>
      <c r="E48" s="19"/>
      <c r="F48" s="5"/>
      <c r="H48" s="19"/>
    </row>
    <row r="49">
      <c r="A49" s="39">
        <v>45060.0</v>
      </c>
      <c r="B49" s="4" t="s">
        <v>45</v>
      </c>
      <c r="C49" s="21">
        <f>13.8*2</f>
        <v>27.6</v>
      </c>
      <c r="E49" s="19"/>
      <c r="F49" s="5"/>
      <c r="H49" s="19"/>
    </row>
    <row r="50">
      <c r="A50" s="39">
        <v>45061.0</v>
      </c>
      <c r="B50" s="4" t="s">
        <v>54</v>
      </c>
      <c r="C50" s="41">
        <v>1055.0</v>
      </c>
      <c r="E50" s="19"/>
      <c r="F50" s="5"/>
      <c r="H50" s="19"/>
    </row>
    <row r="51">
      <c r="A51" s="39">
        <v>45061.0</v>
      </c>
      <c r="B51" s="4" t="s">
        <v>254</v>
      </c>
      <c r="C51" s="21">
        <v>9.99</v>
      </c>
      <c r="E51" s="19"/>
      <c r="F51" s="5"/>
      <c r="H51" s="19"/>
    </row>
    <row r="52">
      <c r="A52" s="39">
        <v>45061.0</v>
      </c>
      <c r="B52" s="4" t="s">
        <v>47</v>
      </c>
      <c r="C52" s="21">
        <v>0.85</v>
      </c>
      <c r="E52" s="19"/>
      <c r="F52" s="5"/>
      <c r="H52" s="19"/>
    </row>
    <row r="53">
      <c r="A53" s="39">
        <v>45062.0</v>
      </c>
      <c r="B53" s="4" t="s">
        <v>47</v>
      </c>
      <c r="C53" s="21">
        <v>9.35</v>
      </c>
      <c r="E53" s="19"/>
      <c r="F53" s="5"/>
      <c r="H53" s="19"/>
    </row>
    <row r="54">
      <c r="A54" s="39">
        <v>45062.0</v>
      </c>
      <c r="B54" s="4" t="s">
        <v>127</v>
      </c>
      <c r="C54" s="21">
        <v>1.9</v>
      </c>
      <c r="E54" s="19"/>
      <c r="F54" s="5"/>
      <c r="H54" s="19"/>
    </row>
    <row r="55">
      <c r="A55" s="39">
        <v>45062.0</v>
      </c>
      <c r="B55" s="4" t="s">
        <v>53</v>
      </c>
      <c r="C55" s="21">
        <v>10.53</v>
      </c>
      <c r="E55" s="19"/>
      <c r="F55" s="5"/>
      <c r="H55" s="19"/>
    </row>
    <row r="56">
      <c r="A56" s="39">
        <v>45063.0</v>
      </c>
      <c r="B56" s="4" t="s">
        <v>484</v>
      </c>
      <c r="C56" s="21">
        <v>58.39</v>
      </c>
      <c r="E56" s="19"/>
      <c r="F56" s="5"/>
      <c r="H56" s="19"/>
    </row>
    <row r="57">
      <c r="A57" s="39">
        <v>45064.0</v>
      </c>
      <c r="B57" s="4" t="s">
        <v>140</v>
      </c>
      <c r="C57" s="21">
        <f>0.81+10.95</f>
        <v>11.76</v>
      </c>
      <c r="E57" s="19"/>
      <c r="F57" s="5"/>
      <c r="H57" s="19"/>
    </row>
    <row r="58">
      <c r="A58" s="39">
        <v>45065.0</v>
      </c>
      <c r="B58" s="4" t="s">
        <v>127</v>
      </c>
      <c r="C58" s="21">
        <v>6.8</v>
      </c>
      <c r="E58" s="19"/>
      <c r="F58" s="5"/>
      <c r="H58" s="19"/>
    </row>
    <row r="59">
      <c r="A59" s="39">
        <v>45065.0</v>
      </c>
      <c r="B59" s="4" t="s">
        <v>45</v>
      </c>
      <c r="C59" s="21">
        <v>6.96</v>
      </c>
      <c r="E59" s="19"/>
      <c r="F59" s="5"/>
      <c r="H59" s="19"/>
    </row>
    <row r="60">
      <c r="A60" s="39">
        <v>45065.0</v>
      </c>
      <c r="B60" s="4" t="s">
        <v>45</v>
      </c>
      <c r="C60" s="21">
        <f>6+6+12+18+7</f>
        <v>49</v>
      </c>
      <c r="E60" s="19"/>
      <c r="F60" s="5"/>
      <c r="H60" s="19"/>
    </row>
    <row r="61">
      <c r="A61" s="39">
        <v>45065.0</v>
      </c>
      <c r="B61" s="4" t="s">
        <v>127</v>
      </c>
      <c r="C61" s="21">
        <v>3.6</v>
      </c>
      <c r="E61" s="19"/>
      <c r="F61" s="5"/>
      <c r="H61" s="19"/>
    </row>
    <row r="62">
      <c r="A62" s="39">
        <v>45066.0</v>
      </c>
      <c r="B62" s="4" t="s">
        <v>45</v>
      </c>
      <c r="C62" s="21">
        <f>12.5+10+6.95</f>
        <v>29.45</v>
      </c>
      <c r="E62" s="19"/>
      <c r="F62" s="5"/>
      <c r="H62" s="19"/>
    </row>
    <row r="63">
      <c r="A63" s="39">
        <v>45066.0</v>
      </c>
      <c r="B63" s="4" t="s">
        <v>399</v>
      </c>
      <c r="C63" s="21">
        <v>14.41</v>
      </c>
      <c r="E63" s="19"/>
      <c r="F63" s="5"/>
      <c r="H63" s="19"/>
    </row>
    <row r="64">
      <c r="A64" s="39">
        <v>45066.0</v>
      </c>
      <c r="B64" s="4" t="s">
        <v>209</v>
      </c>
      <c r="C64" s="21">
        <v>5.29</v>
      </c>
      <c r="E64" s="19"/>
      <c r="F64" s="5"/>
      <c r="H64" s="19"/>
    </row>
    <row r="65">
      <c r="A65" s="39">
        <v>45066.0</v>
      </c>
      <c r="B65" s="4" t="s">
        <v>485</v>
      </c>
      <c r="C65" s="21">
        <f>34.2/2</f>
        <v>17.1</v>
      </c>
      <c r="E65" s="19"/>
      <c r="F65" s="5"/>
      <c r="H65" s="19"/>
    </row>
    <row r="66">
      <c r="A66" s="39">
        <v>45067.0</v>
      </c>
      <c r="B66" s="4" t="s">
        <v>127</v>
      </c>
      <c r="C66" s="43">
        <v>2.1</v>
      </c>
      <c r="E66" s="19"/>
      <c r="F66" s="5"/>
      <c r="H66" s="19"/>
    </row>
    <row r="67">
      <c r="A67" s="39">
        <v>45067.0</v>
      </c>
      <c r="B67" s="4" t="s">
        <v>45</v>
      </c>
      <c r="C67" s="21">
        <v>48.0</v>
      </c>
      <c r="E67" s="19"/>
      <c r="F67" s="5"/>
      <c r="H67" s="19"/>
    </row>
    <row r="68">
      <c r="A68" s="39">
        <v>45067.0</v>
      </c>
      <c r="B68" s="4" t="s">
        <v>47</v>
      </c>
      <c r="C68" s="21">
        <v>13.27</v>
      </c>
      <c r="E68" s="19"/>
      <c r="F68" s="5"/>
      <c r="H68" s="19"/>
    </row>
    <row r="69">
      <c r="A69" s="39">
        <v>45067.0</v>
      </c>
      <c r="B69" s="4" t="s">
        <v>45</v>
      </c>
      <c r="C69" s="21">
        <v>20.0</v>
      </c>
      <c r="E69" s="19"/>
      <c r="F69" s="5"/>
      <c r="H69" s="19"/>
    </row>
    <row r="70">
      <c r="A70" s="39">
        <v>45067.0</v>
      </c>
      <c r="B70" s="4" t="s">
        <v>127</v>
      </c>
      <c r="C70" s="43">
        <v>4.6</v>
      </c>
      <c r="E70" s="19"/>
      <c r="F70" s="5"/>
      <c r="H70" s="19"/>
    </row>
    <row r="71">
      <c r="A71" s="39">
        <v>45068.0</v>
      </c>
      <c r="B71" s="4" t="s">
        <v>480</v>
      </c>
      <c r="C71" s="21">
        <v>250.0</v>
      </c>
      <c r="E71" s="19"/>
      <c r="F71" s="5"/>
      <c r="H71" s="19"/>
    </row>
    <row r="72">
      <c r="A72" s="39">
        <v>45068.0</v>
      </c>
      <c r="B72" s="4" t="s">
        <v>252</v>
      </c>
      <c r="C72" s="21">
        <v>40.81</v>
      </c>
      <c r="E72" s="19"/>
      <c r="F72" s="5"/>
      <c r="H72" s="19"/>
    </row>
    <row r="73">
      <c r="A73" s="39">
        <v>45068.0</v>
      </c>
      <c r="B73" s="4" t="s">
        <v>253</v>
      </c>
      <c r="C73" s="21">
        <v>49.0</v>
      </c>
      <c r="E73" s="19"/>
      <c r="F73" s="5"/>
      <c r="H73" s="19"/>
    </row>
    <row r="74">
      <c r="A74" s="39">
        <v>45068.0</v>
      </c>
      <c r="B74" s="4" t="s">
        <v>209</v>
      </c>
      <c r="C74" s="21">
        <v>2.3</v>
      </c>
      <c r="E74" s="19"/>
      <c r="F74" s="5"/>
      <c r="H74" s="19"/>
    </row>
    <row r="75">
      <c r="A75" s="39">
        <v>45068.0</v>
      </c>
      <c r="B75" s="4" t="s">
        <v>119</v>
      </c>
      <c r="C75" s="21">
        <v>2.9</v>
      </c>
      <c r="E75" s="19"/>
      <c r="F75" s="5"/>
      <c r="H75" s="19"/>
    </row>
    <row r="76">
      <c r="A76" s="39">
        <v>45068.0</v>
      </c>
      <c r="B76" s="4" t="s">
        <v>486</v>
      </c>
      <c r="C76" s="21">
        <v>5.0</v>
      </c>
      <c r="E76" s="19"/>
      <c r="F76" s="5"/>
      <c r="H76" s="19"/>
    </row>
    <row r="77">
      <c r="A77" s="39">
        <v>45068.0</v>
      </c>
      <c r="B77" s="4" t="s">
        <v>54</v>
      </c>
      <c r="C77" s="21">
        <v>30.0</v>
      </c>
      <c r="E77" s="19"/>
      <c r="F77" s="5"/>
      <c r="H77" s="19"/>
    </row>
    <row r="78">
      <c r="A78" s="39">
        <v>45068.0</v>
      </c>
      <c r="B78" s="4" t="s">
        <v>140</v>
      </c>
      <c r="C78" s="21">
        <v>5.6</v>
      </c>
      <c r="E78" s="19"/>
      <c r="F78" s="5"/>
      <c r="H78" s="19"/>
    </row>
    <row r="79">
      <c r="A79" s="39">
        <v>45068.0</v>
      </c>
      <c r="B79" s="4" t="s">
        <v>127</v>
      </c>
      <c r="C79" s="21">
        <v>6.3</v>
      </c>
      <c r="E79" s="19"/>
      <c r="F79" s="5"/>
      <c r="H79" s="19"/>
    </row>
    <row r="80">
      <c r="A80" s="39">
        <v>45069.0</v>
      </c>
      <c r="B80" s="4" t="s">
        <v>47</v>
      </c>
      <c r="C80" s="21">
        <v>5.0</v>
      </c>
      <c r="E80" s="19"/>
      <c r="F80" s="5"/>
      <c r="H80" s="19"/>
    </row>
    <row r="81">
      <c r="A81" s="39">
        <v>45069.0</v>
      </c>
      <c r="B81" s="4" t="s">
        <v>127</v>
      </c>
      <c r="C81" s="21">
        <v>6.8</v>
      </c>
      <c r="E81" s="19"/>
      <c r="F81" s="5"/>
      <c r="H81" s="19"/>
    </row>
    <row r="82">
      <c r="A82" s="39">
        <v>45070.0</v>
      </c>
      <c r="B82" s="4" t="s">
        <v>53</v>
      </c>
      <c r="C82" s="21">
        <v>8.67</v>
      </c>
      <c r="E82" s="19"/>
      <c r="F82" s="5"/>
      <c r="H82" s="19"/>
    </row>
    <row r="83">
      <c r="A83" s="39">
        <v>45070.0</v>
      </c>
      <c r="B83" s="4" t="s">
        <v>47</v>
      </c>
      <c r="C83" s="21">
        <v>5.6</v>
      </c>
      <c r="E83" s="19"/>
      <c r="F83" s="5"/>
      <c r="H83" s="19"/>
    </row>
    <row r="84">
      <c r="A84" s="39">
        <v>45071.0</v>
      </c>
      <c r="B84" s="4" t="s">
        <v>59</v>
      </c>
      <c r="C84" s="21">
        <v>4.7</v>
      </c>
      <c r="E84" s="19"/>
      <c r="F84" s="5"/>
      <c r="H84" s="19"/>
    </row>
    <row r="85">
      <c r="A85" s="39">
        <v>45071.0</v>
      </c>
      <c r="B85" s="4" t="s">
        <v>127</v>
      </c>
      <c r="C85" s="21">
        <v>3.5</v>
      </c>
      <c r="E85" s="19"/>
      <c r="F85" s="5"/>
      <c r="H85" s="19"/>
    </row>
    <row r="86">
      <c r="A86" s="39">
        <v>45072.0</v>
      </c>
      <c r="B86" s="4" t="s">
        <v>127</v>
      </c>
      <c r="C86" s="21">
        <v>1.8</v>
      </c>
      <c r="E86" s="19"/>
      <c r="F86" s="5"/>
      <c r="H86" s="19"/>
    </row>
    <row r="87">
      <c r="A87" s="39">
        <v>45072.0</v>
      </c>
      <c r="B87" s="4" t="s">
        <v>47</v>
      </c>
      <c r="C87" s="21">
        <v>1.2</v>
      </c>
      <c r="E87" s="19"/>
      <c r="F87" s="5"/>
      <c r="H87" s="19"/>
    </row>
    <row r="88">
      <c r="A88" s="39">
        <v>45073.0</v>
      </c>
      <c r="B88" s="4" t="s">
        <v>45</v>
      </c>
      <c r="C88" s="21">
        <v>7.05</v>
      </c>
      <c r="E88" s="19"/>
      <c r="F88" s="5"/>
      <c r="H88" s="19"/>
    </row>
    <row r="89">
      <c r="A89" s="39">
        <v>45073.0</v>
      </c>
      <c r="B89" s="4" t="s">
        <v>52</v>
      </c>
      <c r="C89" s="21">
        <v>3.99</v>
      </c>
      <c r="E89" s="19"/>
      <c r="F89" s="5"/>
      <c r="H89" s="19"/>
    </row>
    <row r="90">
      <c r="A90" s="39">
        <v>45073.0</v>
      </c>
      <c r="B90" s="4" t="s">
        <v>45</v>
      </c>
      <c r="C90" s="21">
        <v>5.0</v>
      </c>
      <c r="E90" s="19"/>
      <c r="F90" s="5"/>
      <c r="H90" s="19"/>
    </row>
    <row r="91">
      <c r="A91" s="39">
        <v>45073.0</v>
      </c>
      <c r="B91" s="4" t="s">
        <v>47</v>
      </c>
      <c r="C91" s="21">
        <v>1.25</v>
      </c>
      <c r="E91" s="19"/>
      <c r="F91" s="5"/>
      <c r="H91" s="19"/>
    </row>
    <row r="92">
      <c r="A92" s="39">
        <v>45074.0</v>
      </c>
      <c r="B92" s="4" t="s">
        <v>209</v>
      </c>
      <c r="C92" s="21">
        <v>3.1</v>
      </c>
      <c r="E92" s="19"/>
      <c r="F92" s="5"/>
      <c r="H92" s="19"/>
    </row>
    <row r="93">
      <c r="A93" s="39">
        <v>45074.0</v>
      </c>
      <c r="B93" s="4" t="s">
        <v>422</v>
      </c>
      <c r="C93" s="4">
        <v>11.0</v>
      </c>
      <c r="E93" s="19"/>
      <c r="F93" s="5"/>
      <c r="H93" s="19"/>
    </row>
    <row r="94">
      <c r="A94" s="39">
        <v>45074.0</v>
      </c>
      <c r="B94" s="4" t="s">
        <v>53</v>
      </c>
      <c r="C94" s="21">
        <v>27.1</v>
      </c>
      <c r="E94" s="19"/>
      <c r="F94" s="5"/>
      <c r="H94" s="19"/>
    </row>
    <row r="95">
      <c r="A95" s="39">
        <v>45074.0</v>
      </c>
      <c r="B95" s="4" t="s">
        <v>127</v>
      </c>
      <c r="C95" s="21">
        <v>2.8</v>
      </c>
      <c r="E95" s="19"/>
      <c r="F95" s="5"/>
      <c r="H95" s="19"/>
    </row>
    <row r="96">
      <c r="A96" s="39">
        <v>45075.0</v>
      </c>
      <c r="B96" s="4" t="s">
        <v>127</v>
      </c>
      <c r="C96" s="21">
        <v>2.0</v>
      </c>
      <c r="E96" s="19"/>
      <c r="F96" s="5"/>
      <c r="H96" s="19"/>
    </row>
    <row r="97">
      <c r="A97" s="39">
        <v>45075.0</v>
      </c>
      <c r="B97" s="4" t="s">
        <v>422</v>
      </c>
      <c r="C97" s="21">
        <v>11.0</v>
      </c>
      <c r="E97" s="19"/>
      <c r="F97" s="5"/>
      <c r="H97" s="19"/>
    </row>
    <row r="98">
      <c r="A98" s="39">
        <v>45075.0</v>
      </c>
      <c r="B98" s="4" t="s">
        <v>56</v>
      </c>
      <c r="C98" s="21">
        <v>6.2</v>
      </c>
      <c r="E98" s="19"/>
      <c r="F98" s="5"/>
      <c r="H98" s="19"/>
    </row>
    <row r="99">
      <c r="A99" s="39">
        <v>45075.0</v>
      </c>
      <c r="B99" s="4" t="s">
        <v>127</v>
      </c>
      <c r="C99" s="21">
        <v>2.0</v>
      </c>
      <c r="E99" s="19"/>
      <c r="F99" s="5"/>
      <c r="H99" s="19"/>
    </row>
    <row r="100">
      <c r="A100" s="39">
        <v>45076.0</v>
      </c>
      <c r="B100" s="4" t="s">
        <v>479</v>
      </c>
      <c r="C100" s="21">
        <v>20.0</v>
      </c>
      <c r="E100" s="19"/>
      <c r="F100" s="5"/>
      <c r="H100" s="19"/>
    </row>
    <row r="101">
      <c r="A101" s="39">
        <v>45076.0</v>
      </c>
      <c r="B101" s="4" t="s">
        <v>127</v>
      </c>
      <c r="C101" s="21">
        <v>2.8</v>
      </c>
      <c r="E101" s="19"/>
      <c r="F101" s="5"/>
      <c r="H101" s="19"/>
    </row>
    <row r="102">
      <c r="A102" s="39">
        <v>45076.0</v>
      </c>
      <c r="B102" s="4" t="s">
        <v>47</v>
      </c>
      <c r="C102" s="21">
        <v>8.14</v>
      </c>
      <c r="E102" s="19"/>
      <c r="F102" s="5"/>
      <c r="H102" s="19"/>
    </row>
    <row r="103">
      <c r="A103" s="39">
        <v>45077.0</v>
      </c>
      <c r="B103" s="4" t="s">
        <v>47</v>
      </c>
      <c r="C103" s="21">
        <v>3.5</v>
      </c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0">
    <cfRule type="cellIs" dxfId="3" priority="3" operator="greaterThan">
      <formula>0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175.17</v>
      </c>
      <c r="H1" s="1" t="s">
        <v>46</v>
      </c>
      <c r="I1" s="5">
        <f>I5-I6</f>
        <v>59.86</v>
      </c>
      <c r="J1" s="19"/>
      <c r="K1" s="1" t="s">
        <v>47</v>
      </c>
      <c r="L1" s="5">
        <f t="shared" ref="L1:L4" si="1">SUMIF(B:B,K1,C:I)</f>
        <v>87.93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45017.0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61.57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30.78</v>
      </c>
      <c r="N2" s="39">
        <v>45017.0</v>
      </c>
      <c r="O2" s="5">
        <f>sumif(A:A,N2,C:C)-I3</f>
        <v>-6.48</v>
      </c>
      <c r="P2" s="5">
        <f>SUM(O2)</f>
        <v>-6.48</v>
      </c>
    </row>
    <row r="3">
      <c r="A3" s="39">
        <v>45017.0</v>
      </c>
      <c r="B3" s="4" t="s">
        <v>263</v>
      </c>
      <c r="C3" s="21">
        <v>17.33</v>
      </c>
      <c r="E3" s="1" t="s">
        <v>209</v>
      </c>
      <c r="F3" s="5">
        <f>SUMIF(B:B,"Pret",C:C)+SUMIF(B:B,"Breakfast",C:C)</f>
        <v>10.18</v>
      </c>
      <c r="H3" s="1" t="s">
        <v>8</v>
      </c>
      <c r="I3" s="5">
        <f>SUMIF(B:B,H3,C:C)+I1</f>
        <v>309.86</v>
      </c>
      <c r="K3" s="1" t="s">
        <v>56</v>
      </c>
      <c r="L3" s="5">
        <f t="shared" si="1"/>
        <v>2.85</v>
      </c>
      <c r="N3" s="39">
        <v>45018.0</v>
      </c>
      <c r="O3" s="40">
        <f t="shared" ref="O3:O22" si="2">sumif(A:A,N3,C:C)</f>
        <v>45.14</v>
      </c>
      <c r="P3" s="5">
        <f t="shared" ref="P3:P31" si="3">P2+O3</f>
        <v>38.66</v>
      </c>
    </row>
    <row r="4">
      <c r="A4" s="39">
        <v>45017.0</v>
      </c>
      <c r="B4" s="4" t="s">
        <v>45</v>
      </c>
      <c r="C4" s="21">
        <v>5.75</v>
      </c>
      <c r="E4" s="1" t="s">
        <v>140</v>
      </c>
      <c r="F4" s="5">
        <f>SUMIF(B:B,E4,C:C)</f>
        <v>18.5</v>
      </c>
      <c r="K4" s="1" t="s">
        <v>59</v>
      </c>
      <c r="L4" s="5">
        <f t="shared" si="1"/>
        <v>0</v>
      </c>
      <c r="N4" s="39">
        <v>45019.0</v>
      </c>
      <c r="O4" s="40">
        <f t="shared" si="2"/>
        <v>12.4</v>
      </c>
      <c r="P4" s="5">
        <f t="shared" si="3"/>
        <v>51.06</v>
      </c>
    </row>
    <row r="5">
      <c r="A5" s="39">
        <v>45017.0</v>
      </c>
      <c r="B5" s="4" t="s">
        <v>45</v>
      </c>
      <c r="C5" s="21">
        <v>5.5</v>
      </c>
      <c r="E5" s="1" t="s">
        <v>57</v>
      </c>
      <c r="F5" s="5">
        <f>sum(L:L)</f>
        <v>121.56</v>
      </c>
      <c r="H5" s="1" t="s">
        <v>65</v>
      </c>
      <c r="I5" s="49">
        <v>2570.76</v>
      </c>
      <c r="N5" s="39">
        <v>45020.0</v>
      </c>
      <c r="O5" s="40">
        <f t="shared" si="2"/>
        <v>2.8</v>
      </c>
      <c r="P5" s="5">
        <f t="shared" si="3"/>
        <v>53.86</v>
      </c>
    </row>
    <row r="6">
      <c r="A6" s="39">
        <v>45017.0</v>
      </c>
      <c r="B6" s="4" t="s">
        <v>45</v>
      </c>
      <c r="C6" s="21">
        <v>11.0</v>
      </c>
      <c r="E6" s="42" t="s">
        <v>61</v>
      </c>
      <c r="F6" s="5">
        <f>SUMIF(B:B,"Games",C:C)+SUMIF(B:B,"Spotify",C:C)+SUMIF(B:B,"Disney+",C:C)+SUMIF(B:B,"Book",C:C)+SUMIF(B:B,"Audible",C:C)</f>
        <v>31.53</v>
      </c>
      <c r="H6" s="1" t="s">
        <v>68</v>
      </c>
      <c r="I6" s="5">
        <f>sum(C:C)</f>
        <v>2510.9</v>
      </c>
      <c r="N6" s="39">
        <v>45021.0</v>
      </c>
      <c r="O6" s="40">
        <f t="shared" si="2"/>
        <v>27.25</v>
      </c>
      <c r="P6" s="5">
        <f t="shared" si="3"/>
        <v>81.11</v>
      </c>
    </row>
    <row r="7">
      <c r="A7" s="39">
        <v>45017.0</v>
      </c>
      <c r="B7" s="4" t="s">
        <v>45</v>
      </c>
      <c r="C7" s="21">
        <v>5.5</v>
      </c>
      <c r="E7" s="1" t="s">
        <v>64</v>
      </c>
      <c r="F7" s="5">
        <f>SUMIF(B:B,E7,C:C)+SUMIF(B:B,"Shoes",C:C)</f>
        <v>17.33</v>
      </c>
      <c r="H7" s="1" t="s">
        <v>72</v>
      </c>
      <c r="I7" s="5">
        <f>sum(F:F)+I2+I3</f>
        <v>2281.81</v>
      </c>
      <c r="N7" s="39">
        <v>45022.0</v>
      </c>
      <c r="O7" s="40">
        <f t="shared" si="2"/>
        <v>76</v>
      </c>
      <c r="P7" s="5">
        <f t="shared" si="3"/>
        <v>157.11</v>
      </c>
    </row>
    <row r="8">
      <c r="A8" s="39">
        <v>45017.0</v>
      </c>
      <c r="B8" s="4" t="s">
        <v>45</v>
      </c>
      <c r="C8" s="21">
        <v>5.5</v>
      </c>
      <c r="E8" s="1" t="s">
        <v>54</v>
      </c>
      <c r="F8" s="5">
        <f>SUMIF(B:B,E8,C:C)+SUMIF(B:B,"Phone",C:C)</f>
        <v>1125.81</v>
      </c>
      <c r="H8" s="1" t="s">
        <v>74</v>
      </c>
      <c r="I8" s="5">
        <f>I6-I7</f>
        <v>229.09</v>
      </c>
      <c r="N8" s="39">
        <v>45023.0</v>
      </c>
      <c r="O8" s="40">
        <f t="shared" si="2"/>
        <v>71.52</v>
      </c>
      <c r="P8" s="5">
        <f t="shared" si="3"/>
        <v>228.63</v>
      </c>
    </row>
    <row r="9">
      <c r="A9" s="39">
        <v>45017.0</v>
      </c>
      <c r="B9" s="4" t="s">
        <v>127</v>
      </c>
      <c r="C9" s="21">
        <v>2.8</v>
      </c>
      <c r="E9" s="1" t="s">
        <v>127</v>
      </c>
      <c r="F9" s="5">
        <f>SUMIF(B:B,E9,C:C)</f>
        <v>35.85</v>
      </c>
      <c r="H9" s="1"/>
      <c r="N9" s="39">
        <v>45024.0</v>
      </c>
      <c r="O9" s="40">
        <f t="shared" si="2"/>
        <v>8</v>
      </c>
      <c r="P9" s="5">
        <f t="shared" si="3"/>
        <v>236.63</v>
      </c>
    </row>
    <row r="10">
      <c r="A10" s="39">
        <v>45018.0</v>
      </c>
      <c r="B10" s="4" t="s">
        <v>487</v>
      </c>
      <c r="C10" s="21">
        <v>4.0</v>
      </c>
      <c r="E10" s="1" t="s">
        <v>164</v>
      </c>
      <c r="F10" s="48">
        <f>SUMIF(B:B,"Cigs",C:C)</f>
        <v>40.4</v>
      </c>
      <c r="H10" s="53" t="s">
        <v>3</v>
      </c>
      <c r="I10" s="54">
        <f>(I3+I2)/I5</f>
        <v>0.2177799561</v>
      </c>
      <c r="N10" s="39">
        <v>45025.0</v>
      </c>
      <c r="O10" s="40">
        <f t="shared" si="2"/>
        <v>19.39</v>
      </c>
      <c r="P10" s="5">
        <f t="shared" si="3"/>
        <v>256.02</v>
      </c>
    </row>
    <row r="11">
      <c r="A11" s="39">
        <v>45018.0</v>
      </c>
      <c r="B11" s="4" t="s">
        <v>164</v>
      </c>
      <c r="C11" s="21">
        <v>21.0</v>
      </c>
      <c r="E11" s="1" t="s">
        <v>73</v>
      </c>
      <c r="F11" s="5">
        <f>SUMIF(B:B,"Uber",C:C)</f>
        <v>21.55</v>
      </c>
      <c r="N11" s="39">
        <v>45026.0</v>
      </c>
      <c r="O11" s="40">
        <f t="shared" si="2"/>
        <v>17.15</v>
      </c>
      <c r="P11" s="5">
        <f t="shared" si="3"/>
        <v>273.17</v>
      </c>
    </row>
    <row r="12">
      <c r="A12" s="39">
        <v>45018.0</v>
      </c>
      <c r="B12" s="4" t="s">
        <v>45</v>
      </c>
      <c r="C12" s="21">
        <v>6.0</v>
      </c>
      <c r="E12" s="1" t="s">
        <v>75</v>
      </c>
      <c r="F12" s="40">
        <f>SUMIF(B:B,"Gym",C:C)+SUMIF(B:B,"Climbing",C:C)</f>
        <v>62.5</v>
      </c>
      <c r="N12" s="39">
        <v>45027.0</v>
      </c>
      <c r="O12" s="40">
        <f t="shared" si="2"/>
        <v>0</v>
      </c>
      <c r="P12" s="5">
        <f t="shared" si="3"/>
        <v>273.17</v>
      </c>
    </row>
    <row r="13">
      <c r="A13" s="39">
        <v>45018.0</v>
      </c>
      <c r="B13" s="4" t="s">
        <v>52</v>
      </c>
      <c r="C13" s="21">
        <v>14.14</v>
      </c>
      <c r="N13" s="39">
        <v>45028.0</v>
      </c>
      <c r="O13" s="40">
        <f t="shared" si="2"/>
        <v>34.24</v>
      </c>
      <c r="P13" s="5">
        <f t="shared" si="3"/>
        <v>307.41</v>
      </c>
    </row>
    <row r="14">
      <c r="A14" s="39">
        <v>45019.0</v>
      </c>
      <c r="B14" s="4" t="s">
        <v>47</v>
      </c>
      <c r="C14" s="21">
        <v>12.4</v>
      </c>
      <c r="H14" s="19"/>
      <c r="N14" s="39">
        <v>45029.0</v>
      </c>
      <c r="O14" s="40">
        <f t="shared" si="2"/>
        <v>43.49</v>
      </c>
      <c r="P14" s="5">
        <f t="shared" si="3"/>
        <v>350.9</v>
      </c>
    </row>
    <row r="15">
      <c r="A15" s="39">
        <v>45020.0</v>
      </c>
      <c r="B15" s="4" t="s">
        <v>47</v>
      </c>
      <c r="C15" s="21">
        <v>2.8</v>
      </c>
      <c r="H15" s="19"/>
      <c r="N15" s="39">
        <v>45030.0</v>
      </c>
      <c r="O15" s="40">
        <f t="shared" si="2"/>
        <v>0</v>
      </c>
      <c r="P15" s="5">
        <f t="shared" si="3"/>
        <v>350.9</v>
      </c>
    </row>
    <row r="16">
      <c r="A16" s="39">
        <v>45021.0</v>
      </c>
      <c r="B16" s="4" t="s">
        <v>230</v>
      </c>
      <c r="C16" s="21">
        <v>11.55</v>
      </c>
      <c r="H16" s="19"/>
      <c r="N16" s="39">
        <v>45031.0</v>
      </c>
      <c r="O16" s="40">
        <f t="shared" si="2"/>
        <v>1142.36</v>
      </c>
      <c r="P16" s="5">
        <f t="shared" si="3"/>
        <v>1493.26</v>
      </c>
    </row>
    <row r="17">
      <c r="A17" s="39">
        <v>45021.0</v>
      </c>
      <c r="B17" s="4" t="s">
        <v>47</v>
      </c>
      <c r="C17" s="21">
        <v>15.7</v>
      </c>
      <c r="H17" s="19"/>
      <c r="N17" s="39">
        <v>45032.0</v>
      </c>
      <c r="O17" s="40">
        <f t="shared" si="2"/>
        <v>24.76</v>
      </c>
      <c r="P17" s="5">
        <f t="shared" si="3"/>
        <v>1518.02</v>
      </c>
    </row>
    <row r="18">
      <c r="A18" s="39">
        <v>45022.0</v>
      </c>
      <c r="B18" s="4" t="s">
        <v>348</v>
      </c>
      <c r="C18" s="21">
        <v>76.0</v>
      </c>
      <c r="H18" s="19"/>
      <c r="N18" s="39">
        <v>45033.0</v>
      </c>
      <c r="O18" s="40">
        <f t="shared" si="2"/>
        <v>0</v>
      </c>
      <c r="P18" s="5">
        <f t="shared" si="3"/>
        <v>1518.02</v>
      </c>
    </row>
    <row r="19">
      <c r="A19" s="39">
        <v>45023.0</v>
      </c>
      <c r="B19" s="4" t="s">
        <v>45</v>
      </c>
      <c r="C19" s="21">
        <v>10.75</v>
      </c>
      <c r="H19" s="19"/>
      <c r="N19" s="39">
        <v>45034.0</v>
      </c>
      <c r="O19" s="40">
        <f t="shared" si="2"/>
        <v>5.85</v>
      </c>
      <c r="P19" s="5">
        <f t="shared" si="3"/>
        <v>1523.87</v>
      </c>
    </row>
    <row r="20">
      <c r="A20" s="39">
        <v>45023.0</v>
      </c>
      <c r="B20" s="4" t="s">
        <v>45</v>
      </c>
      <c r="C20" s="21">
        <v>9.6</v>
      </c>
      <c r="H20" s="19"/>
      <c r="N20" s="39">
        <v>45035.0</v>
      </c>
      <c r="O20" s="40">
        <f t="shared" si="2"/>
        <v>13.89</v>
      </c>
      <c r="P20" s="5">
        <f t="shared" si="3"/>
        <v>1537.76</v>
      </c>
    </row>
    <row r="21">
      <c r="A21" s="39">
        <v>45023.0</v>
      </c>
      <c r="B21" s="4" t="s">
        <v>45</v>
      </c>
      <c r="C21" s="21">
        <v>14.4</v>
      </c>
      <c r="E21" s="19"/>
      <c r="F21" s="5"/>
      <c r="H21" s="19"/>
      <c r="N21" s="39">
        <v>45036.0</v>
      </c>
      <c r="O21" s="40">
        <f t="shared" si="2"/>
        <v>23.36</v>
      </c>
      <c r="P21" s="5">
        <f t="shared" si="3"/>
        <v>1561.12</v>
      </c>
    </row>
    <row r="22">
      <c r="A22" s="39">
        <v>45023.0</v>
      </c>
      <c r="B22" s="4" t="s">
        <v>45</v>
      </c>
      <c r="C22" s="21">
        <v>5.0</v>
      </c>
      <c r="E22" s="19"/>
      <c r="F22" s="5"/>
      <c r="H22" s="19"/>
      <c r="N22" s="39">
        <v>45037.0</v>
      </c>
      <c r="O22" s="40">
        <f t="shared" si="2"/>
        <v>16.95</v>
      </c>
      <c r="P22" s="5">
        <f t="shared" si="3"/>
        <v>1578.07</v>
      </c>
    </row>
    <row r="23">
      <c r="A23" s="39">
        <v>45023.0</v>
      </c>
      <c r="B23" s="4" t="s">
        <v>127</v>
      </c>
      <c r="C23" s="21">
        <v>1.8</v>
      </c>
      <c r="E23" s="19"/>
      <c r="F23" s="5"/>
      <c r="H23" s="19"/>
      <c r="N23" s="39">
        <v>45038.0</v>
      </c>
      <c r="O23" s="5">
        <f>sumif(A:A,N23,C:C)-I2</f>
        <v>101.44</v>
      </c>
      <c r="P23" s="5">
        <f t="shared" si="3"/>
        <v>1679.51</v>
      </c>
    </row>
    <row r="24">
      <c r="A24" s="39">
        <v>45023.0</v>
      </c>
      <c r="B24" s="4" t="s">
        <v>230</v>
      </c>
      <c r="C24" s="21">
        <v>9.99</v>
      </c>
      <c r="E24" s="19"/>
      <c r="F24" s="5"/>
      <c r="H24" s="19"/>
      <c r="N24" s="39">
        <v>45039.0</v>
      </c>
      <c r="O24" s="40">
        <f t="shared" ref="O24:O31" si="4">sumif(A:A,N24,C:C)</f>
        <v>35.8</v>
      </c>
      <c r="P24" s="5">
        <f t="shared" si="3"/>
        <v>1715.31</v>
      </c>
    </row>
    <row r="25">
      <c r="A25" s="39">
        <v>45023.0</v>
      </c>
      <c r="B25" s="4" t="s">
        <v>52</v>
      </c>
      <c r="C25" s="21">
        <v>19.98</v>
      </c>
      <c r="E25" s="19"/>
      <c r="F25" s="5"/>
      <c r="H25" s="19"/>
      <c r="N25" s="39">
        <v>45040.0</v>
      </c>
      <c r="O25" s="40">
        <f t="shared" si="4"/>
        <v>13.27</v>
      </c>
      <c r="P25" s="5">
        <f t="shared" si="3"/>
        <v>1728.58</v>
      </c>
    </row>
    <row r="26">
      <c r="A26" s="39">
        <v>45024.0</v>
      </c>
      <c r="B26" s="4" t="s">
        <v>242</v>
      </c>
      <c r="C26" s="21">
        <v>8.0</v>
      </c>
      <c r="E26" s="19"/>
      <c r="F26" s="5"/>
      <c r="H26" s="19"/>
      <c r="N26" s="39">
        <v>45041.0</v>
      </c>
      <c r="O26" s="40">
        <f t="shared" si="4"/>
        <v>8.6</v>
      </c>
      <c r="P26" s="5">
        <f t="shared" si="3"/>
        <v>1737.18</v>
      </c>
    </row>
    <row r="27">
      <c r="A27" s="39">
        <v>45025.0</v>
      </c>
      <c r="B27" s="4" t="s">
        <v>47</v>
      </c>
      <c r="C27" s="21">
        <v>19.39</v>
      </c>
      <c r="E27" s="19"/>
      <c r="F27" s="5"/>
      <c r="H27" s="19"/>
      <c r="N27" s="39">
        <v>45042.0</v>
      </c>
      <c r="O27" s="40">
        <f t="shared" si="4"/>
        <v>17.51</v>
      </c>
      <c r="P27" s="5">
        <f t="shared" si="3"/>
        <v>1754.69</v>
      </c>
    </row>
    <row r="28">
      <c r="A28" s="39">
        <v>45026.0</v>
      </c>
      <c r="B28" s="4" t="s">
        <v>127</v>
      </c>
      <c r="C28" s="21">
        <v>1.9</v>
      </c>
      <c r="E28" s="19"/>
      <c r="F28" s="5"/>
      <c r="H28" s="19"/>
      <c r="N28" s="39">
        <v>45043.0</v>
      </c>
      <c r="O28" s="40">
        <f t="shared" si="4"/>
        <v>10.39</v>
      </c>
      <c r="P28" s="5">
        <f t="shared" si="3"/>
        <v>1765.08</v>
      </c>
    </row>
    <row r="29">
      <c r="A29" s="39">
        <v>45026.0</v>
      </c>
      <c r="B29" s="4" t="s">
        <v>422</v>
      </c>
      <c r="C29" s="21">
        <v>13.5</v>
      </c>
      <c r="E29" s="19"/>
      <c r="F29" s="5"/>
      <c r="H29" s="19"/>
      <c r="N29" s="39">
        <v>45044.0</v>
      </c>
      <c r="O29" s="40">
        <f t="shared" si="4"/>
        <v>63.05</v>
      </c>
      <c r="P29" s="5">
        <f t="shared" si="3"/>
        <v>1828.13</v>
      </c>
    </row>
    <row r="30">
      <c r="A30" s="39">
        <v>45026.0</v>
      </c>
      <c r="B30" s="4" t="s">
        <v>127</v>
      </c>
      <c r="C30" s="21">
        <v>1.75</v>
      </c>
      <c r="E30" s="19"/>
      <c r="F30" s="5"/>
      <c r="H30" s="19"/>
      <c r="N30" s="39">
        <v>45045.0</v>
      </c>
      <c r="O30" s="40">
        <f t="shared" si="4"/>
        <v>81.53</v>
      </c>
      <c r="P30" s="5">
        <f t="shared" si="3"/>
        <v>1909.66</v>
      </c>
    </row>
    <row r="31">
      <c r="A31" s="39">
        <v>45028.0</v>
      </c>
      <c r="B31" s="4" t="s">
        <v>488</v>
      </c>
      <c r="C31" s="21">
        <v>28.63</v>
      </c>
      <c r="E31" s="19"/>
      <c r="F31" s="5"/>
      <c r="H31" s="19"/>
      <c r="N31" s="39">
        <v>45046.0</v>
      </c>
      <c r="O31" s="40">
        <f t="shared" si="4"/>
        <v>41.38</v>
      </c>
      <c r="P31" s="5">
        <f t="shared" si="3"/>
        <v>1951.04</v>
      </c>
    </row>
    <row r="32">
      <c r="A32" s="39">
        <v>45028.0</v>
      </c>
      <c r="B32" s="4" t="s">
        <v>489</v>
      </c>
      <c r="C32" s="21">
        <v>5.61</v>
      </c>
      <c r="E32" s="19"/>
      <c r="F32" s="5"/>
      <c r="H32" s="19"/>
      <c r="N32" s="39"/>
    </row>
    <row r="33">
      <c r="A33" s="39">
        <v>45029.0</v>
      </c>
      <c r="B33" s="4" t="s">
        <v>140</v>
      </c>
      <c r="C33" s="21">
        <v>11.0</v>
      </c>
      <c r="E33" s="19"/>
      <c r="F33" s="5"/>
      <c r="H33" s="19"/>
      <c r="N33" s="39"/>
    </row>
    <row r="34">
      <c r="A34" s="39">
        <v>45029.0</v>
      </c>
      <c r="B34" s="4" t="s">
        <v>45</v>
      </c>
      <c r="C34" s="21">
        <v>12.3</v>
      </c>
      <c r="E34" s="19"/>
      <c r="F34" s="5"/>
      <c r="H34" s="19"/>
    </row>
    <row r="35">
      <c r="A35" s="39">
        <v>45029.0</v>
      </c>
      <c r="B35" s="4" t="s">
        <v>47</v>
      </c>
      <c r="C35" s="21">
        <v>6.45</v>
      </c>
      <c r="E35" s="19"/>
      <c r="F35" s="5"/>
      <c r="H35" s="19"/>
    </row>
    <row r="36">
      <c r="A36" s="39">
        <v>45029.0</v>
      </c>
      <c r="B36" s="4" t="s">
        <v>127</v>
      </c>
      <c r="C36" s="21">
        <v>8.1</v>
      </c>
      <c r="E36" s="19"/>
      <c r="F36" s="5"/>
      <c r="H36" s="19"/>
    </row>
    <row r="37">
      <c r="A37" s="39">
        <v>45029.0</v>
      </c>
      <c r="B37" s="4" t="s">
        <v>209</v>
      </c>
      <c r="C37" s="21">
        <v>4.89</v>
      </c>
      <c r="E37" s="19"/>
      <c r="F37" s="5"/>
      <c r="H37" s="19"/>
    </row>
    <row r="38">
      <c r="A38" s="39">
        <v>45029.0</v>
      </c>
      <c r="B38" s="4" t="s">
        <v>56</v>
      </c>
      <c r="C38" s="21">
        <v>0.75</v>
      </c>
      <c r="E38" s="19"/>
      <c r="F38" s="5"/>
      <c r="H38" s="19"/>
    </row>
    <row r="39">
      <c r="A39" s="39">
        <v>45031.0</v>
      </c>
      <c r="B39" s="4" t="s">
        <v>54</v>
      </c>
      <c r="C39" s="41">
        <v>1055.0</v>
      </c>
      <c r="E39" s="19"/>
      <c r="F39" s="5"/>
      <c r="H39" s="19"/>
    </row>
    <row r="40">
      <c r="A40" s="39">
        <v>45031.0</v>
      </c>
      <c r="B40" s="4" t="s">
        <v>490</v>
      </c>
      <c r="C40" s="21">
        <v>43.45</v>
      </c>
      <c r="E40" s="19"/>
      <c r="F40" s="5"/>
      <c r="H40" s="19"/>
    </row>
    <row r="41">
      <c r="A41" s="39">
        <v>45031.0</v>
      </c>
      <c r="B41" s="4" t="s">
        <v>491</v>
      </c>
      <c r="C41" s="21">
        <v>3.0</v>
      </c>
      <c r="E41" s="19"/>
      <c r="F41" s="5"/>
      <c r="H41" s="19"/>
    </row>
    <row r="42">
      <c r="A42" s="39">
        <v>45031.0</v>
      </c>
      <c r="B42" s="4" t="s">
        <v>488</v>
      </c>
      <c r="C42" s="21">
        <v>30.92</v>
      </c>
      <c r="E42" s="19"/>
      <c r="F42" s="5"/>
      <c r="H42" s="19"/>
    </row>
    <row r="43">
      <c r="A43" s="39">
        <v>45031.0</v>
      </c>
      <c r="B43" s="4" t="s">
        <v>254</v>
      </c>
      <c r="C43" s="21">
        <v>9.99</v>
      </c>
      <c r="E43" s="19"/>
      <c r="F43" s="5"/>
      <c r="H43" s="19"/>
    </row>
    <row r="44">
      <c r="A44" s="39">
        <v>45032.0</v>
      </c>
      <c r="B44" s="4" t="s">
        <v>52</v>
      </c>
      <c r="C44" s="21">
        <v>21.76</v>
      </c>
      <c r="E44" s="19"/>
      <c r="F44" s="5"/>
      <c r="H44" s="19"/>
    </row>
    <row r="45">
      <c r="A45" s="39">
        <v>45032.0</v>
      </c>
      <c r="B45" s="4" t="s">
        <v>488</v>
      </c>
      <c r="C45" s="21">
        <v>3.0</v>
      </c>
      <c r="E45" s="19"/>
      <c r="F45" s="5"/>
      <c r="H45" s="19"/>
    </row>
    <row r="46">
      <c r="A46" s="39">
        <v>45034.0</v>
      </c>
      <c r="B46" s="4" t="s">
        <v>47</v>
      </c>
      <c r="C46" s="21">
        <f>1.7+4.15</f>
        <v>5.85</v>
      </c>
      <c r="E46" s="19"/>
      <c r="F46" s="5"/>
      <c r="H46" s="19"/>
    </row>
    <row r="47">
      <c r="A47" s="39">
        <v>45035.0</v>
      </c>
      <c r="B47" s="4" t="s">
        <v>47</v>
      </c>
      <c r="C47" s="21">
        <v>13.89</v>
      </c>
      <c r="E47" s="19"/>
      <c r="F47" s="5"/>
      <c r="H47" s="19"/>
    </row>
    <row r="48">
      <c r="A48" s="39">
        <v>45036.0</v>
      </c>
      <c r="B48" s="4" t="s">
        <v>140</v>
      </c>
      <c r="C48" s="21">
        <v>7.5</v>
      </c>
      <c r="E48" s="19"/>
      <c r="F48" s="5"/>
      <c r="H48" s="19"/>
    </row>
    <row r="49">
      <c r="A49" s="39">
        <v>45036.0</v>
      </c>
      <c r="B49" s="4" t="s">
        <v>479</v>
      </c>
      <c r="C49" s="21">
        <v>15.86</v>
      </c>
      <c r="E49" s="19"/>
      <c r="F49" s="5"/>
      <c r="H49" s="19"/>
    </row>
    <row r="50">
      <c r="A50" s="39">
        <v>45037.0</v>
      </c>
      <c r="B50" s="4" t="s">
        <v>399</v>
      </c>
      <c r="C50" s="21">
        <v>16.95</v>
      </c>
      <c r="E50" s="19"/>
      <c r="F50" s="5"/>
      <c r="H50" s="19"/>
    </row>
    <row r="51">
      <c r="A51" s="39">
        <v>45038.0</v>
      </c>
      <c r="B51" s="4" t="s">
        <v>480</v>
      </c>
      <c r="C51" s="21">
        <v>250.0</v>
      </c>
      <c r="E51" s="19"/>
      <c r="F51" s="5"/>
      <c r="H51" s="19"/>
    </row>
    <row r="52">
      <c r="A52" s="39">
        <v>45038.0</v>
      </c>
      <c r="B52" s="4" t="s">
        <v>252</v>
      </c>
      <c r="C52" s="21">
        <v>40.81</v>
      </c>
      <c r="E52" s="19"/>
      <c r="F52" s="5"/>
      <c r="H52" s="19"/>
    </row>
    <row r="53">
      <c r="A53" s="39">
        <v>45038.0</v>
      </c>
      <c r="B53" s="4" t="s">
        <v>253</v>
      </c>
      <c r="C53" s="21">
        <v>49.0</v>
      </c>
      <c r="E53" s="19"/>
      <c r="F53" s="5"/>
      <c r="H53" s="19"/>
    </row>
    <row r="54">
      <c r="A54" s="39">
        <v>45038.0</v>
      </c>
      <c r="B54" s="4" t="s">
        <v>47</v>
      </c>
      <c r="C54" s="21">
        <v>1.25</v>
      </c>
      <c r="E54" s="19"/>
      <c r="F54" s="5"/>
      <c r="H54" s="19"/>
    </row>
    <row r="55">
      <c r="A55" s="39">
        <v>45038.0</v>
      </c>
      <c r="B55" s="4" t="s">
        <v>492</v>
      </c>
      <c r="C55" s="21">
        <v>10.38</v>
      </c>
      <c r="E55" s="19"/>
      <c r="F55" s="5"/>
      <c r="H55" s="19"/>
    </row>
    <row r="56">
      <c r="A56" s="39">
        <v>45039.0</v>
      </c>
      <c r="B56" s="4" t="s">
        <v>54</v>
      </c>
      <c r="C56" s="21">
        <v>30.0</v>
      </c>
      <c r="E56" s="19"/>
      <c r="F56" s="5"/>
      <c r="H56" s="19"/>
    </row>
    <row r="57">
      <c r="A57" s="39">
        <v>45039.0</v>
      </c>
      <c r="B57" s="4" t="s">
        <v>127</v>
      </c>
      <c r="C57" s="43">
        <v>5.8</v>
      </c>
      <c r="E57" s="19"/>
      <c r="F57" s="5"/>
      <c r="H57" s="19"/>
    </row>
    <row r="58">
      <c r="A58" s="39">
        <v>45040.0</v>
      </c>
      <c r="B58" s="4" t="s">
        <v>53</v>
      </c>
      <c r="C58" s="21">
        <f>22.27-9</f>
        <v>13.27</v>
      </c>
      <c r="E58" s="19"/>
      <c r="F58" s="5"/>
      <c r="H58" s="19"/>
    </row>
    <row r="59">
      <c r="A59" s="39">
        <v>45041.0</v>
      </c>
      <c r="B59" s="4" t="s">
        <v>76</v>
      </c>
      <c r="C59" s="21">
        <v>3.4</v>
      </c>
      <c r="E59" s="19"/>
      <c r="F59" s="5"/>
      <c r="H59" s="19"/>
    </row>
    <row r="60">
      <c r="A60" s="39">
        <v>45041.0</v>
      </c>
      <c r="B60" s="4" t="s">
        <v>47</v>
      </c>
      <c r="C60" s="21">
        <v>4.15</v>
      </c>
      <c r="E60" s="19"/>
      <c r="F60" s="5"/>
      <c r="H60" s="19"/>
    </row>
    <row r="61">
      <c r="A61" s="39">
        <v>45041.0</v>
      </c>
      <c r="B61" s="4" t="s">
        <v>47</v>
      </c>
      <c r="C61" s="21">
        <v>1.05</v>
      </c>
      <c r="E61" s="19"/>
      <c r="F61" s="5"/>
      <c r="H61" s="19"/>
    </row>
    <row r="62">
      <c r="A62" s="39">
        <v>45042.0</v>
      </c>
      <c r="B62" s="4" t="s">
        <v>53</v>
      </c>
      <c r="C62" s="21">
        <v>17.51</v>
      </c>
      <c r="E62" s="19"/>
      <c r="F62" s="5"/>
      <c r="H62" s="19"/>
    </row>
    <row r="63">
      <c r="A63" s="39">
        <v>45043.0</v>
      </c>
      <c r="B63" s="4" t="s">
        <v>56</v>
      </c>
      <c r="C63" s="21">
        <v>2.1</v>
      </c>
      <c r="E63" s="19"/>
      <c r="F63" s="5"/>
      <c r="H63" s="19"/>
    </row>
    <row r="64">
      <c r="A64" s="39">
        <v>45043.0</v>
      </c>
      <c r="B64" s="4" t="s">
        <v>47</v>
      </c>
      <c r="C64" s="21">
        <v>3.0</v>
      </c>
      <c r="E64" s="19"/>
      <c r="F64" s="5"/>
      <c r="H64" s="19"/>
    </row>
    <row r="65">
      <c r="A65" s="39">
        <v>45043.0</v>
      </c>
      <c r="B65" s="4" t="s">
        <v>209</v>
      </c>
      <c r="C65" s="21">
        <v>5.29</v>
      </c>
      <c r="E65" s="19"/>
      <c r="F65" s="5"/>
      <c r="H65" s="19"/>
    </row>
    <row r="66">
      <c r="A66" s="39">
        <v>45044.0</v>
      </c>
      <c r="B66" s="4" t="s">
        <v>127</v>
      </c>
      <c r="C66" s="21">
        <v>8.1</v>
      </c>
      <c r="E66" s="19"/>
      <c r="F66" s="5"/>
      <c r="H66" s="19"/>
    </row>
    <row r="67">
      <c r="A67" s="39">
        <v>45044.0</v>
      </c>
      <c r="B67" s="4" t="s">
        <v>127</v>
      </c>
      <c r="C67" s="21">
        <v>5.6</v>
      </c>
      <c r="E67" s="19"/>
      <c r="F67" s="5"/>
      <c r="H67" s="19"/>
    </row>
    <row r="68">
      <c r="A68" s="39">
        <v>45044.0</v>
      </c>
      <c r="B68" s="4" t="s">
        <v>210</v>
      </c>
      <c r="C68" s="21">
        <v>24.1</v>
      </c>
      <c r="E68" s="19"/>
      <c r="F68" s="5"/>
      <c r="H68" s="19"/>
    </row>
    <row r="69">
      <c r="A69" s="39">
        <v>45044.0</v>
      </c>
      <c r="B69" s="4" t="s">
        <v>45</v>
      </c>
      <c r="C69" s="21">
        <v>5.35</v>
      </c>
      <c r="E69" s="19"/>
      <c r="F69" s="5"/>
      <c r="H69" s="19"/>
    </row>
    <row r="70">
      <c r="A70" s="39">
        <v>45044.0</v>
      </c>
      <c r="B70" s="4" t="s">
        <v>45</v>
      </c>
      <c r="C70" s="21">
        <v>10.7</v>
      </c>
      <c r="E70" s="19"/>
      <c r="F70" s="5"/>
      <c r="H70" s="19"/>
    </row>
    <row r="71">
      <c r="A71" s="39">
        <v>45044.0</v>
      </c>
      <c r="B71" s="4" t="s">
        <v>45</v>
      </c>
      <c r="C71" s="21">
        <v>9.2</v>
      </c>
      <c r="E71" s="19"/>
      <c r="F71" s="5"/>
      <c r="H71" s="19"/>
    </row>
    <row r="72">
      <c r="A72" s="39">
        <v>45045.0</v>
      </c>
      <c r="B72" s="4" t="s">
        <v>73</v>
      </c>
      <c r="C72" s="21">
        <v>14.95</v>
      </c>
      <c r="E72" s="19"/>
      <c r="F72" s="5"/>
      <c r="H72" s="19"/>
    </row>
    <row r="73">
      <c r="A73" s="39">
        <v>45045.0</v>
      </c>
      <c r="B73" s="4" t="s">
        <v>164</v>
      </c>
      <c r="C73" s="21">
        <v>19.4</v>
      </c>
      <c r="E73" s="19"/>
      <c r="F73" s="5"/>
      <c r="H73" s="19"/>
    </row>
    <row r="74">
      <c r="A74" s="39">
        <v>45045.0</v>
      </c>
      <c r="B74" s="4" t="s">
        <v>45</v>
      </c>
      <c r="C74" s="21">
        <v>12.4</v>
      </c>
      <c r="E74" s="19"/>
      <c r="F74" s="5"/>
      <c r="H74" s="19"/>
    </row>
    <row r="75">
      <c r="A75" s="39">
        <v>45045.0</v>
      </c>
      <c r="B75" s="4" t="s">
        <v>45</v>
      </c>
      <c r="C75" s="21">
        <v>19.53</v>
      </c>
      <c r="E75" s="19"/>
      <c r="F75" s="5"/>
      <c r="H75" s="19"/>
    </row>
    <row r="76">
      <c r="A76" s="39">
        <v>45045.0</v>
      </c>
      <c r="B76" s="4" t="s">
        <v>74</v>
      </c>
      <c r="C76" s="21">
        <v>1.4</v>
      </c>
      <c r="E76" s="19"/>
      <c r="F76" s="5"/>
      <c r="H76" s="19"/>
    </row>
    <row r="77">
      <c r="A77" s="39">
        <v>45045.0</v>
      </c>
      <c r="B77" s="4" t="s">
        <v>73</v>
      </c>
      <c r="C77" s="21">
        <v>6.6</v>
      </c>
      <c r="E77" s="19"/>
      <c r="F77" s="5"/>
      <c r="H77" s="19"/>
    </row>
    <row r="78">
      <c r="A78" s="39">
        <v>45046.0</v>
      </c>
      <c r="B78" s="4" t="s">
        <v>52</v>
      </c>
      <c r="C78" s="21">
        <f>1.09+4.6</f>
        <v>5.69</v>
      </c>
      <c r="E78" s="19"/>
      <c r="F78" s="5"/>
      <c r="H78" s="19"/>
    </row>
    <row r="79">
      <c r="A79" s="39">
        <v>45046.0</v>
      </c>
      <c r="B79" s="4" t="s">
        <v>45</v>
      </c>
      <c r="C79" s="21">
        <v>6.99</v>
      </c>
      <c r="E79" s="19"/>
      <c r="F79" s="5"/>
      <c r="H79" s="19"/>
    </row>
    <row r="80">
      <c r="A80" s="39">
        <v>45046.0</v>
      </c>
      <c r="B80" s="4" t="s">
        <v>45</v>
      </c>
      <c r="C80" s="21">
        <v>19.7</v>
      </c>
      <c r="E80" s="19"/>
      <c r="F80" s="5"/>
      <c r="H80" s="19"/>
    </row>
    <row r="81">
      <c r="A81" s="39">
        <v>45045.0</v>
      </c>
      <c r="B81" s="4" t="s">
        <v>66</v>
      </c>
      <c r="C81" s="21">
        <v>7.25</v>
      </c>
      <c r="E81" s="19"/>
      <c r="F81" s="5"/>
      <c r="H81" s="19"/>
    </row>
    <row r="82">
      <c r="A82" s="39">
        <v>45046.0</v>
      </c>
      <c r="B82" s="4" t="s">
        <v>47</v>
      </c>
      <c r="C82" s="21">
        <v>2.0</v>
      </c>
      <c r="E82" s="19"/>
      <c r="F82" s="5"/>
      <c r="H82" s="19"/>
    </row>
    <row r="83">
      <c r="A83" s="39">
        <v>45046.0</v>
      </c>
      <c r="B83" s="4" t="s">
        <v>485</v>
      </c>
      <c r="C83" s="21">
        <v>7.0</v>
      </c>
      <c r="E83" s="19"/>
      <c r="F83" s="5"/>
      <c r="H83" s="19"/>
    </row>
    <row r="84">
      <c r="A84" s="39"/>
      <c r="C84" s="21"/>
      <c r="E84" s="19"/>
      <c r="F84" s="5"/>
      <c r="H84" s="19"/>
    </row>
    <row r="85">
      <c r="A85" s="39"/>
      <c r="C85" s="21"/>
      <c r="E85" s="19"/>
      <c r="F85" s="5"/>
      <c r="H85" s="19"/>
    </row>
    <row r="86">
      <c r="A86" s="39"/>
      <c r="C86" s="21"/>
      <c r="E86" s="19"/>
      <c r="F86" s="5"/>
      <c r="H86" s="19"/>
    </row>
    <row r="87">
      <c r="A87" s="39"/>
      <c r="C87" s="21"/>
      <c r="E87" s="19"/>
      <c r="F87" s="5"/>
      <c r="H87" s="19"/>
    </row>
    <row r="88">
      <c r="A88" s="39"/>
      <c r="C88" s="21"/>
      <c r="E88" s="19"/>
      <c r="F88" s="5"/>
      <c r="H88" s="19"/>
    </row>
    <row r="89">
      <c r="A89" s="39"/>
      <c r="C89" s="21"/>
      <c r="E89" s="19"/>
      <c r="F89" s="5"/>
      <c r="H89" s="19"/>
    </row>
    <row r="90">
      <c r="A90" s="39"/>
      <c r="C90" s="21"/>
      <c r="E90" s="19"/>
      <c r="F90" s="5"/>
      <c r="H90" s="19"/>
    </row>
    <row r="91">
      <c r="A91" s="39"/>
      <c r="C91" s="21"/>
      <c r="E91" s="19"/>
      <c r="F91" s="5"/>
      <c r="H91" s="19"/>
    </row>
    <row r="92">
      <c r="A92" s="39"/>
      <c r="C92" s="21"/>
      <c r="E92" s="19"/>
      <c r="F92" s="5"/>
      <c r="H92" s="19"/>
    </row>
    <row r="93">
      <c r="A93" s="39"/>
      <c r="C93" s="21"/>
      <c r="E93" s="19"/>
      <c r="F93" s="5"/>
      <c r="H93" s="19"/>
    </row>
    <row r="94">
      <c r="A94" s="39"/>
      <c r="C94" s="21"/>
      <c r="E94" s="19"/>
      <c r="F94" s="5"/>
      <c r="H94" s="19"/>
    </row>
    <row r="95">
      <c r="A95" s="39"/>
      <c r="C95" s="21"/>
      <c r="E95" s="19"/>
      <c r="F95" s="5"/>
      <c r="H95" s="19"/>
    </row>
    <row r="96">
      <c r="A96" s="39"/>
      <c r="C96" s="21"/>
      <c r="E96" s="19"/>
      <c r="F96" s="5"/>
      <c r="H96" s="19"/>
    </row>
    <row r="97">
      <c r="A97" s="39"/>
      <c r="C97" s="21"/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0">
    <cfRule type="cellIs" dxfId="3" priority="3" operator="greaterThan">
      <formula>0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203.33</v>
      </c>
      <c r="H1" s="1" t="s">
        <v>46</v>
      </c>
      <c r="I1" s="5">
        <f>I5-I6</f>
        <v>-293.04</v>
      </c>
      <c r="J1" s="19"/>
      <c r="K1" s="1" t="s">
        <v>47</v>
      </c>
      <c r="L1" s="5">
        <f t="shared" ref="L1:L4" si="1">SUMIF(B:B,K1,C:I)</f>
        <v>94.85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44986.0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61.73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37.64</v>
      </c>
      <c r="N2" s="39">
        <v>44986.0</v>
      </c>
      <c r="O2" s="5">
        <f>sumif(A:A,N2,C:C)-I3</f>
        <v>383.97</v>
      </c>
      <c r="P2" s="5">
        <f>SUM(O2)</f>
        <v>383.97</v>
      </c>
    </row>
    <row r="3">
      <c r="A3" s="39">
        <v>44986.0</v>
      </c>
      <c r="B3" s="4" t="s">
        <v>493</v>
      </c>
      <c r="C3" s="21">
        <v>80.94</v>
      </c>
      <c r="E3" s="1" t="s">
        <v>209</v>
      </c>
      <c r="F3" s="5">
        <f>SUMIF(B:B,"Pret",C:C)+SUMIF(B:B,"Breakfast",C:C)</f>
        <v>19.53</v>
      </c>
      <c r="H3" s="1" t="s">
        <v>8</v>
      </c>
      <c r="I3" s="5">
        <f>SUMIF(B:B,H3,C:C)+I1</f>
        <v>-43.04</v>
      </c>
      <c r="K3" s="1" t="s">
        <v>56</v>
      </c>
      <c r="L3" s="5">
        <f t="shared" si="1"/>
        <v>5.05</v>
      </c>
      <c r="N3" s="39">
        <v>44987.0</v>
      </c>
      <c r="O3" s="40">
        <f t="shared" ref="O3:O32" si="2">sumif(A:A,N3,C:C)</f>
        <v>8.85</v>
      </c>
      <c r="P3" s="5">
        <f t="shared" ref="P3:P32" si="3">P2+O3</f>
        <v>392.82</v>
      </c>
    </row>
    <row r="4">
      <c r="A4" s="39">
        <v>44986.0</v>
      </c>
      <c r="B4" s="4" t="s">
        <v>52</v>
      </c>
      <c r="C4" s="21">
        <v>9.99</v>
      </c>
      <c r="E4" s="1" t="s">
        <v>140</v>
      </c>
      <c r="F4" s="5">
        <f>SUMIF(B:B,E4,C:C)</f>
        <v>90.21</v>
      </c>
      <c r="K4" s="1" t="s">
        <v>59</v>
      </c>
      <c r="L4" s="5">
        <f t="shared" si="1"/>
        <v>52.7</v>
      </c>
      <c r="N4" s="39">
        <v>44988.0</v>
      </c>
      <c r="O4" s="40">
        <f t="shared" si="2"/>
        <v>58.98</v>
      </c>
      <c r="P4" s="5">
        <f t="shared" si="3"/>
        <v>451.8</v>
      </c>
    </row>
    <row r="5">
      <c r="A5" s="39">
        <v>44987.0</v>
      </c>
      <c r="B5" s="4" t="s">
        <v>494</v>
      </c>
      <c r="C5" s="21">
        <v>2.5</v>
      </c>
      <c r="E5" s="1" t="s">
        <v>57</v>
      </c>
      <c r="F5" s="5">
        <f>sum(L:L)</f>
        <v>190.24</v>
      </c>
      <c r="H5" s="1" t="s">
        <v>65</v>
      </c>
      <c r="I5" s="49">
        <v>2570.56</v>
      </c>
      <c r="N5" s="39">
        <v>44989.0</v>
      </c>
      <c r="O5" s="40">
        <f t="shared" si="2"/>
        <v>80.05</v>
      </c>
      <c r="P5" s="5">
        <f t="shared" si="3"/>
        <v>531.85</v>
      </c>
    </row>
    <row r="6">
      <c r="A6" s="39">
        <v>44987.0</v>
      </c>
      <c r="B6" s="4" t="s">
        <v>47</v>
      </c>
      <c r="C6" s="21">
        <v>6.35</v>
      </c>
      <c r="E6" s="42" t="s">
        <v>61</v>
      </c>
      <c r="F6" s="5">
        <f>SUMIF(B:B,"Games",C:C)+SUMIF(B:B,"Spotify",C:C)+SUMIF(B:B,"Disney+",C:C)+SUMIF(B:B,"Book",C:C)+SUMIF(B:B,"Audible",C:C)+SUMIF(B:B,"Debrid",C:C)</f>
        <v>38.9</v>
      </c>
      <c r="H6" s="1" t="s">
        <v>68</v>
      </c>
      <c r="I6" s="5">
        <f>sum(C:C)</f>
        <v>2863.6</v>
      </c>
      <c r="N6" s="39">
        <v>44990.0</v>
      </c>
      <c r="O6" s="40">
        <f t="shared" si="2"/>
        <v>122.65</v>
      </c>
      <c r="P6" s="5">
        <f t="shared" si="3"/>
        <v>654.5</v>
      </c>
    </row>
    <row r="7">
      <c r="A7" s="39">
        <v>44988.0</v>
      </c>
      <c r="B7" s="4" t="s">
        <v>127</v>
      </c>
      <c r="C7" s="21">
        <v>1.6</v>
      </c>
      <c r="E7" s="1" t="s">
        <v>64</v>
      </c>
      <c r="F7" s="5">
        <f>SUMIF(B:B,E7,C:C)+SUMIF(B:B,"Shoes",C:C)</f>
        <v>43.33</v>
      </c>
      <c r="H7" s="1" t="s">
        <v>72</v>
      </c>
      <c r="I7" s="5">
        <f>sum(F:F)+I2+I3</f>
        <v>2279.1</v>
      </c>
      <c r="N7" s="39">
        <v>44991.0</v>
      </c>
      <c r="O7" s="40">
        <f t="shared" si="2"/>
        <v>0</v>
      </c>
      <c r="P7" s="5">
        <f t="shared" si="3"/>
        <v>654.5</v>
      </c>
    </row>
    <row r="8">
      <c r="A8" s="39">
        <v>44988.0</v>
      </c>
      <c r="B8" s="4" t="s">
        <v>127</v>
      </c>
      <c r="C8" s="21">
        <v>2.6</v>
      </c>
      <c r="E8" s="1" t="s">
        <v>54</v>
      </c>
      <c r="F8" s="5">
        <f>SUMIF(B:B,E8,C:C)+SUMIF(B:B,"Phone",C:C)</f>
        <v>1090.99</v>
      </c>
      <c r="H8" s="1" t="s">
        <v>74</v>
      </c>
      <c r="I8" s="5">
        <f>I6-I7</f>
        <v>584.5</v>
      </c>
      <c r="N8" s="39">
        <v>44992.0</v>
      </c>
      <c r="O8" s="40">
        <f t="shared" si="2"/>
        <v>28.42</v>
      </c>
      <c r="P8" s="5">
        <f t="shared" si="3"/>
        <v>682.92</v>
      </c>
    </row>
    <row r="9">
      <c r="A9" s="39">
        <v>44988.0</v>
      </c>
      <c r="B9" s="4" t="s">
        <v>45</v>
      </c>
      <c r="C9" s="21">
        <v>16.7</v>
      </c>
      <c r="E9" s="1" t="s">
        <v>127</v>
      </c>
      <c r="F9" s="5">
        <f>SUMIF(B:B,E9,C:C)</f>
        <v>74.3</v>
      </c>
      <c r="H9" s="1"/>
      <c r="N9" s="39">
        <v>44993.0</v>
      </c>
      <c r="O9" s="40">
        <f t="shared" si="2"/>
        <v>21.76</v>
      </c>
      <c r="P9" s="5">
        <f t="shared" si="3"/>
        <v>704.68</v>
      </c>
    </row>
    <row r="10">
      <c r="A10" s="39">
        <v>44988.0</v>
      </c>
      <c r="B10" s="4" t="s">
        <v>45</v>
      </c>
      <c r="C10" s="21">
        <v>13.8</v>
      </c>
      <c r="E10" s="1" t="s">
        <v>164</v>
      </c>
      <c r="F10" s="48">
        <f>SUMIF(B:B,"Cigs",C:C)</f>
        <v>5</v>
      </c>
      <c r="H10" s="53" t="s">
        <v>3</v>
      </c>
      <c r="I10" s="54">
        <f>(I3+I2)/I5</f>
        <v>0.08051163949</v>
      </c>
      <c r="N10" s="39">
        <v>44994.0</v>
      </c>
      <c r="O10" s="40">
        <f t="shared" si="2"/>
        <v>63.59</v>
      </c>
      <c r="P10" s="5">
        <f t="shared" si="3"/>
        <v>768.27</v>
      </c>
    </row>
    <row r="11">
      <c r="A11" s="39">
        <v>44988.0</v>
      </c>
      <c r="B11" s="4" t="s">
        <v>52</v>
      </c>
      <c r="C11" s="21">
        <v>6.79</v>
      </c>
      <c r="E11" s="1" t="s">
        <v>73</v>
      </c>
      <c r="F11" s="5">
        <f>SUMIF(B:B,"Uber",C:C)</f>
        <v>31.78</v>
      </c>
      <c r="N11" s="39">
        <v>44995.0</v>
      </c>
      <c r="O11" s="40">
        <f t="shared" si="2"/>
        <v>11.99</v>
      </c>
      <c r="P11" s="5">
        <f t="shared" si="3"/>
        <v>780.26</v>
      </c>
    </row>
    <row r="12">
      <c r="A12" s="39">
        <v>44988.0</v>
      </c>
      <c r="B12" s="4" t="s">
        <v>127</v>
      </c>
      <c r="C12" s="21">
        <v>2.0</v>
      </c>
      <c r="E12" s="1" t="s">
        <v>75</v>
      </c>
      <c r="F12" s="40">
        <f>SUMIF(B:B,"Gym",C:C)+SUMIF(B:B,"Climbing",C:C)</f>
        <v>222.8</v>
      </c>
      <c r="N12" s="39">
        <v>44996.0</v>
      </c>
      <c r="O12" s="40">
        <f t="shared" si="2"/>
        <v>108.92</v>
      </c>
      <c r="P12" s="5">
        <f t="shared" si="3"/>
        <v>889.18</v>
      </c>
    </row>
    <row r="13">
      <c r="A13" s="39">
        <v>44988.0</v>
      </c>
      <c r="B13" s="4" t="s">
        <v>495</v>
      </c>
      <c r="C13" s="21">
        <v>15.49</v>
      </c>
      <c r="N13" s="39">
        <v>44997.0</v>
      </c>
      <c r="O13" s="40">
        <f t="shared" si="2"/>
        <v>0</v>
      </c>
      <c r="P13" s="5">
        <f t="shared" si="3"/>
        <v>889.18</v>
      </c>
    </row>
    <row r="14">
      <c r="A14" s="39">
        <v>44989.0</v>
      </c>
      <c r="B14" s="4" t="s">
        <v>422</v>
      </c>
      <c r="C14" s="21">
        <v>14.0</v>
      </c>
      <c r="H14" s="19"/>
      <c r="N14" s="39">
        <v>44998.0</v>
      </c>
      <c r="O14" s="40">
        <f t="shared" si="2"/>
        <v>28.63</v>
      </c>
      <c r="P14" s="5">
        <f t="shared" si="3"/>
        <v>917.81</v>
      </c>
    </row>
    <row r="15">
      <c r="A15" s="39">
        <v>44989.0</v>
      </c>
      <c r="B15" s="4" t="s">
        <v>209</v>
      </c>
      <c r="C15" s="21">
        <v>5.9</v>
      </c>
      <c r="H15" s="19"/>
      <c r="N15" s="39">
        <v>44999.0</v>
      </c>
      <c r="O15" s="40">
        <f t="shared" si="2"/>
        <v>10.25</v>
      </c>
      <c r="P15" s="5">
        <f t="shared" si="3"/>
        <v>928.06</v>
      </c>
    </row>
    <row r="16">
      <c r="A16" s="39">
        <v>44989.0</v>
      </c>
      <c r="B16" s="4" t="s">
        <v>127</v>
      </c>
      <c r="C16" s="21">
        <v>2.0</v>
      </c>
      <c r="H16" s="19"/>
      <c r="N16" s="39">
        <v>45000.0</v>
      </c>
      <c r="O16" s="40">
        <f t="shared" si="2"/>
        <v>1068.49</v>
      </c>
      <c r="P16" s="5">
        <f t="shared" si="3"/>
        <v>1996.55</v>
      </c>
    </row>
    <row r="17">
      <c r="A17" s="39">
        <v>44989.0</v>
      </c>
      <c r="B17" s="4" t="s">
        <v>140</v>
      </c>
      <c r="C17" s="21">
        <f>29.75+5.7+7.5</f>
        <v>42.95</v>
      </c>
      <c r="H17" s="19"/>
      <c r="N17" s="39">
        <v>45001.0</v>
      </c>
      <c r="O17" s="40">
        <f t="shared" si="2"/>
        <v>23.8</v>
      </c>
      <c r="P17" s="5">
        <f t="shared" si="3"/>
        <v>2020.35</v>
      </c>
    </row>
    <row r="18">
      <c r="A18" s="39">
        <v>44989.0</v>
      </c>
      <c r="B18" s="4" t="s">
        <v>45</v>
      </c>
      <c r="C18" s="21">
        <v>15.2</v>
      </c>
      <c r="H18" s="19"/>
      <c r="N18" s="39">
        <v>45002.0</v>
      </c>
      <c r="O18" s="40">
        <f t="shared" si="2"/>
        <v>13.4</v>
      </c>
      <c r="P18" s="5">
        <f t="shared" si="3"/>
        <v>2033.75</v>
      </c>
    </row>
    <row r="19">
      <c r="A19" s="39">
        <v>44990.0</v>
      </c>
      <c r="B19" s="4" t="s">
        <v>127</v>
      </c>
      <c r="C19" s="21">
        <v>2.0</v>
      </c>
      <c r="H19" s="19"/>
      <c r="N19" s="39">
        <v>45003.0</v>
      </c>
      <c r="O19" s="40">
        <f t="shared" si="2"/>
        <v>66.54</v>
      </c>
      <c r="P19" s="5">
        <f t="shared" si="3"/>
        <v>2100.29</v>
      </c>
    </row>
    <row r="20">
      <c r="A20" s="39">
        <v>44990.0</v>
      </c>
      <c r="B20" s="4" t="s">
        <v>358</v>
      </c>
      <c r="C20" s="21">
        <v>1.0</v>
      </c>
      <c r="H20" s="19"/>
      <c r="N20" s="39">
        <v>45004.0</v>
      </c>
      <c r="O20" s="40">
        <f t="shared" si="2"/>
        <v>8.9</v>
      </c>
      <c r="P20" s="5">
        <f t="shared" si="3"/>
        <v>2109.19</v>
      </c>
    </row>
    <row r="21">
      <c r="A21" s="39">
        <v>44990.0</v>
      </c>
      <c r="B21" s="4" t="s">
        <v>127</v>
      </c>
      <c r="C21" s="21">
        <v>2.8</v>
      </c>
      <c r="E21" s="19"/>
      <c r="F21" s="5"/>
      <c r="H21" s="19"/>
      <c r="N21" s="39">
        <v>45005.0</v>
      </c>
      <c r="O21" s="40">
        <f t="shared" si="2"/>
        <v>53.8</v>
      </c>
      <c r="P21" s="5">
        <f t="shared" si="3"/>
        <v>2162.99</v>
      </c>
    </row>
    <row r="22">
      <c r="A22" s="39">
        <v>44990.0</v>
      </c>
      <c r="B22" s="4" t="s">
        <v>47</v>
      </c>
      <c r="C22" s="21">
        <v>11.5</v>
      </c>
      <c r="E22" s="19"/>
      <c r="F22" s="5"/>
      <c r="H22" s="19"/>
      <c r="N22" s="39">
        <v>45006.0</v>
      </c>
      <c r="O22" s="40">
        <f t="shared" si="2"/>
        <v>22.55</v>
      </c>
      <c r="P22" s="5">
        <f t="shared" si="3"/>
        <v>2185.54</v>
      </c>
    </row>
    <row r="23">
      <c r="A23" s="39">
        <v>44990.0</v>
      </c>
      <c r="B23" s="4" t="s">
        <v>66</v>
      </c>
      <c r="C23" s="4">
        <v>4.5</v>
      </c>
      <c r="E23" s="19"/>
      <c r="F23" s="5"/>
      <c r="H23" s="19"/>
      <c r="N23" s="39">
        <v>45007.0</v>
      </c>
      <c r="O23" s="40">
        <f t="shared" si="2"/>
        <v>418.16</v>
      </c>
      <c r="P23" s="5">
        <f t="shared" si="3"/>
        <v>2603.7</v>
      </c>
    </row>
    <row r="24">
      <c r="A24" s="39">
        <v>44990.0</v>
      </c>
      <c r="B24" s="4" t="s">
        <v>422</v>
      </c>
      <c r="C24" s="21">
        <v>100.85</v>
      </c>
      <c r="E24" s="19"/>
      <c r="F24" s="5"/>
      <c r="H24" s="19"/>
      <c r="N24" s="39">
        <v>45008.0</v>
      </c>
      <c r="O24" s="40">
        <f t="shared" si="2"/>
        <v>3.5</v>
      </c>
      <c r="P24" s="5">
        <f t="shared" si="3"/>
        <v>2607.2</v>
      </c>
    </row>
    <row r="25">
      <c r="A25" s="39">
        <v>44992.0</v>
      </c>
      <c r="B25" s="4" t="s">
        <v>47</v>
      </c>
      <c r="C25" s="21">
        <v>14.2</v>
      </c>
      <c r="E25" s="19"/>
      <c r="F25" s="5"/>
      <c r="H25" s="19"/>
      <c r="N25" s="39">
        <v>45009.0</v>
      </c>
      <c r="O25" s="40">
        <f t="shared" si="2"/>
        <v>18.35</v>
      </c>
      <c r="P25" s="5">
        <f t="shared" si="3"/>
        <v>2625.55</v>
      </c>
    </row>
    <row r="26">
      <c r="A26" s="39">
        <v>44992.0</v>
      </c>
      <c r="B26" s="4" t="s">
        <v>453</v>
      </c>
      <c r="C26" s="21">
        <v>14.22</v>
      </c>
      <c r="E26" s="19"/>
      <c r="F26" s="5"/>
      <c r="H26" s="19"/>
      <c r="N26" s="39">
        <v>45010.0</v>
      </c>
      <c r="O26" s="40">
        <f t="shared" si="2"/>
        <v>81.78</v>
      </c>
      <c r="P26" s="5">
        <f t="shared" si="3"/>
        <v>2707.33</v>
      </c>
    </row>
    <row r="27">
      <c r="A27" s="39">
        <v>44993.0</v>
      </c>
      <c r="B27" s="4" t="s">
        <v>47</v>
      </c>
      <c r="C27" s="21">
        <v>0.81</v>
      </c>
      <c r="E27" s="19"/>
      <c r="F27" s="5"/>
      <c r="H27" s="19"/>
      <c r="N27" s="39">
        <v>45011.0</v>
      </c>
      <c r="O27" s="40">
        <f t="shared" si="2"/>
        <v>18.86</v>
      </c>
      <c r="P27" s="5">
        <f t="shared" si="3"/>
        <v>2726.19</v>
      </c>
    </row>
    <row r="28">
      <c r="A28" s="39">
        <v>44993.0</v>
      </c>
      <c r="B28" s="4" t="s">
        <v>496</v>
      </c>
      <c r="C28" s="21">
        <v>9.0</v>
      </c>
      <c r="E28" s="19"/>
      <c r="F28" s="5"/>
      <c r="H28" s="19"/>
      <c r="N28" s="39">
        <v>45012.0</v>
      </c>
      <c r="O28" s="40">
        <f t="shared" si="2"/>
        <v>14.84</v>
      </c>
      <c r="P28" s="5">
        <f t="shared" si="3"/>
        <v>2741.03</v>
      </c>
    </row>
    <row r="29">
      <c r="A29" s="39">
        <v>44993.0</v>
      </c>
      <c r="B29" s="4" t="s">
        <v>422</v>
      </c>
      <c r="C29" s="21">
        <v>11.95</v>
      </c>
      <c r="E29" s="19"/>
      <c r="F29" s="5"/>
      <c r="H29" s="19"/>
      <c r="N29" s="39">
        <v>45013.0</v>
      </c>
      <c r="O29" s="40">
        <f t="shared" si="2"/>
        <v>26</v>
      </c>
      <c r="P29" s="5">
        <f t="shared" si="3"/>
        <v>2767.03</v>
      </c>
    </row>
    <row r="30">
      <c r="A30" s="39">
        <v>44994.0</v>
      </c>
      <c r="B30" s="4" t="s">
        <v>209</v>
      </c>
      <c r="C30" s="21">
        <v>3.99</v>
      </c>
      <c r="E30" s="19"/>
      <c r="F30" s="5"/>
      <c r="H30" s="19"/>
      <c r="N30" s="39">
        <v>45014.0</v>
      </c>
      <c r="O30" s="40">
        <f t="shared" si="2"/>
        <v>31.61</v>
      </c>
      <c r="P30" s="5">
        <f t="shared" si="3"/>
        <v>2798.64</v>
      </c>
    </row>
    <row r="31">
      <c r="A31" s="39">
        <v>44994.0</v>
      </c>
      <c r="B31" s="4" t="s">
        <v>140</v>
      </c>
      <c r="C31" s="21">
        <v>13.5</v>
      </c>
      <c r="E31" s="19"/>
      <c r="F31" s="5"/>
      <c r="H31" s="19"/>
      <c r="N31" s="39">
        <v>45015.0</v>
      </c>
      <c r="O31" s="40">
        <f t="shared" si="2"/>
        <v>55.25</v>
      </c>
      <c r="P31" s="5">
        <f t="shared" si="3"/>
        <v>2853.89</v>
      </c>
    </row>
    <row r="32">
      <c r="A32" s="39">
        <v>44994.0</v>
      </c>
      <c r="B32" s="4" t="s">
        <v>45</v>
      </c>
      <c r="C32" s="21">
        <v>6.85</v>
      </c>
      <c r="E32" s="19"/>
      <c r="F32" s="5"/>
      <c r="H32" s="19"/>
      <c r="N32" s="39">
        <v>45016.0</v>
      </c>
      <c r="O32" s="40">
        <f t="shared" si="2"/>
        <v>52.75</v>
      </c>
      <c r="P32" s="5">
        <f t="shared" si="3"/>
        <v>2906.64</v>
      </c>
    </row>
    <row r="33">
      <c r="A33" s="39">
        <v>44994.0</v>
      </c>
      <c r="B33" s="4" t="s">
        <v>45</v>
      </c>
      <c r="C33" s="21">
        <v>9.85</v>
      </c>
      <c r="E33" s="19"/>
      <c r="F33" s="5"/>
      <c r="H33" s="19"/>
      <c r="N33" s="39"/>
    </row>
    <row r="34">
      <c r="A34" s="39">
        <v>44994.0</v>
      </c>
      <c r="B34" s="4" t="s">
        <v>45</v>
      </c>
      <c r="C34" s="21">
        <v>11.7</v>
      </c>
      <c r="E34" s="19"/>
      <c r="F34" s="5"/>
      <c r="H34" s="19"/>
    </row>
    <row r="35">
      <c r="A35" s="39">
        <v>44994.0</v>
      </c>
      <c r="B35" s="4" t="s">
        <v>45</v>
      </c>
      <c r="C35" s="21">
        <f>17.55-5.85</f>
        <v>11.7</v>
      </c>
      <c r="E35" s="19"/>
      <c r="F35" s="5"/>
      <c r="H35" s="19"/>
    </row>
    <row r="36">
      <c r="A36" s="39">
        <v>44994.0</v>
      </c>
      <c r="B36" s="4" t="s">
        <v>52</v>
      </c>
      <c r="C36" s="21">
        <v>6.0</v>
      </c>
      <c r="E36" s="19"/>
      <c r="F36" s="5"/>
      <c r="H36" s="19"/>
    </row>
    <row r="37">
      <c r="A37" s="39">
        <v>44995.0</v>
      </c>
      <c r="B37" s="4" t="s">
        <v>127</v>
      </c>
      <c r="C37" s="21">
        <v>4.6</v>
      </c>
      <c r="E37" s="19"/>
      <c r="F37" s="5"/>
      <c r="H37" s="19"/>
    </row>
    <row r="38">
      <c r="A38" s="39">
        <v>44995.0</v>
      </c>
      <c r="B38" s="4" t="s">
        <v>127</v>
      </c>
      <c r="C38" s="21">
        <v>3.4</v>
      </c>
      <c r="E38" s="19"/>
      <c r="F38" s="5"/>
      <c r="H38" s="19"/>
    </row>
    <row r="39">
      <c r="A39" s="39">
        <v>44995.0</v>
      </c>
      <c r="B39" s="4" t="s">
        <v>497</v>
      </c>
      <c r="C39" s="21">
        <v>3.99</v>
      </c>
      <c r="E39" s="19"/>
      <c r="F39" s="5"/>
      <c r="H39" s="19"/>
    </row>
    <row r="40">
      <c r="A40" s="39">
        <v>44996.0</v>
      </c>
      <c r="B40" s="4" t="s">
        <v>76</v>
      </c>
      <c r="C40" s="21">
        <v>2.55</v>
      </c>
      <c r="E40" s="19"/>
      <c r="F40" s="5"/>
      <c r="H40" s="19"/>
    </row>
    <row r="41">
      <c r="A41" s="39">
        <v>44996.0</v>
      </c>
      <c r="B41" s="4" t="s">
        <v>127</v>
      </c>
      <c r="C41" s="21">
        <v>2.1</v>
      </c>
      <c r="E41" s="19"/>
      <c r="F41" s="5"/>
      <c r="H41" s="19"/>
    </row>
    <row r="42">
      <c r="A42" s="39">
        <v>44996.0</v>
      </c>
      <c r="B42" s="4" t="s">
        <v>498</v>
      </c>
      <c r="C42" s="21">
        <v>43.7</v>
      </c>
      <c r="E42" s="19"/>
      <c r="F42" s="5"/>
      <c r="H42" s="19"/>
    </row>
    <row r="43">
      <c r="A43" s="39">
        <v>44996.0</v>
      </c>
      <c r="B43" s="4" t="s">
        <v>45</v>
      </c>
      <c r="C43" s="21">
        <v>21.6</v>
      </c>
      <c r="E43" s="19"/>
      <c r="F43" s="5"/>
      <c r="H43" s="19"/>
    </row>
    <row r="44">
      <c r="A44" s="39">
        <v>44996.0</v>
      </c>
      <c r="B44" s="4" t="s">
        <v>45</v>
      </c>
      <c r="C44" s="21">
        <v>7.35</v>
      </c>
      <c r="E44" s="19"/>
      <c r="F44" s="5"/>
      <c r="H44" s="19"/>
    </row>
    <row r="45">
      <c r="A45" s="39">
        <v>44996.0</v>
      </c>
      <c r="B45" s="4" t="s">
        <v>73</v>
      </c>
      <c r="C45" s="21">
        <v>12.92</v>
      </c>
      <c r="E45" s="19"/>
      <c r="F45" s="5"/>
      <c r="H45" s="19"/>
    </row>
    <row r="46">
      <c r="A46" s="39">
        <v>44996.0</v>
      </c>
      <c r="B46" s="4" t="s">
        <v>127</v>
      </c>
      <c r="C46" s="21">
        <v>3.7</v>
      </c>
      <c r="E46" s="19"/>
      <c r="F46" s="5"/>
      <c r="H46" s="19"/>
    </row>
    <row r="47">
      <c r="A47" s="39">
        <v>44996.0</v>
      </c>
      <c r="B47" s="4" t="s">
        <v>52</v>
      </c>
      <c r="C47" s="21">
        <v>15.0</v>
      </c>
      <c r="E47" s="19"/>
      <c r="F47" s="5"/>
      <c r="H47" s="19"/>
    </row>
    <row r="48">
      <c r="A48" s="39">
        <v>44998.0</v>
      </c>
      <c r="B48" s="4" t="s">
        <v>53</v>
      </c>
      <c r="C48" s="21">
        <v>25.08</v>
      </c>
      <c r="E48" s="19"/>
      <c r="F48" s="5"/>
      <c r="H48" s="19"/>
    </row>
    <row r="49">
      <c r="A49" s="39">
        <v>44998.0</v>
      </c>
      <c r="B49" s="4" t="s">
        <v>499</v>
      </c>
      <c r="C49" s="21">
        <v>3.55</v>
      </c>
      <c r="E49" s="19"/>
      <c r="F49" s="5"/>
      <c r="H49" s="19"/>
    </row>
    <row r="50">
      <c r="A50" s="39">
        <v>44999.0</v>
      </c>
      <c r="B50" s="4" t="s">
        <v>47</v>
      </c>
      <c r="C50" s="21">
        <v>1.5</v>
      </c>
      <c r="E50" s="19"/>
      <c r="F50" s="5"/>
      <c r="H50" s="19"/>
    </row>
    <row r="51">
      <c r="A51" s="39">
        <v>44999.0</v>
      </c>
      <c r="B51" s="4" t="s">
        <v>47</v>
      </c>
      <c r="C51" s="21">
        <v>8.75</v>
      </c>
      <c r="E51" s="19"/>
      <c r="F51" s="5"/>
      <c r="H51" s="19"/>
    </row>
    <row r="52">
      <c r="A52" s="39">
        <v>45000.0</v>
      </c>
      <c r="B52" s="4" t="s">
        <v>54</v>
      </c>
      <c r="C52" s="41">
        <v>1055.0</v>
      </c>
      <c r="E52" s="19"/>
      <c r="F52" s="5"/>
      <c r="H52" s="19"/>
    </row>
    <row r="53">
      <c r="A53" s="39">
        <v>45000.0</v>
      </c>
      <c r="B53" s="4" t="s">
        <v>254</v>
      </c>
      <c r="C53" s="21">
        <v>9.99</v>
      </c>
      <c r="E53" s="19"/>
      <c r="F53" s="5"/>
      <c r="H53" s="19"/>
    </row>
    <row r="54">
      <c r="A54" s="39">
        <v>45000.0</v>
      </c>
      <c r="B54" s="57" t="s">
        <v>127</v>
      </c>
      <c r="C54" s="21">
        <v>3.5</v>
      </c>
      <c r="E54" s="19"/>
      <c r="F54" s="5"/>
      <c r="H54" s="19"/>
    </row>
    <row r="55">
      <c r="A55" s="39">
        <v>45001.0</v>
      </c>
      <c r="B55" s="4" t="s">
        <v>140</v>
      </c>
      <c r="C55" s="43">
        <v>11.95</v>
      </c>
      <c r="E55" s="19"/>
      <c r="F55" s="5"/>
      <c r="H55" s="19"/>
    </row>
    <row r="56">
      <c r="A56" s="39">
        <v>45001.0</v>
      </c>
      <c r="B56" s="4" t="s">
        <v>127</v>
      </c>
      <c r="C56" s="21">
        <v>6.8</v>
      </c>
      <c r="E56" s="19"/>
      <c r="F56" s="5"/>
      <c r="H56" s="19"/>
    </row>
    <row r="57">
      <c r="A57" s="39">
        <v>45001.0</v>
      </c>
      <c r="B57" s="4" t="s">
        <v>56</v>
      </c>
      <c r="C57" s="21">
        <v>3.85</v>
      </c>
      <c r="E57" s="19"/>
      <c r="F57" s="5"/>
      <c r="H57" s="19"/>
    </row>
    <row r="58">
      <c r="A58" s="39">
        <v>45001.0</v>
      </c>
      <c r="B58" s="4" t="s">
        <v>56</v>
      </c>
      <c r="C58" s="4">
        <v>1.2</v>
      </c>
      <c r="E58" s="19"/>
      <c r="F58" s="5"/>
      <c r="H58" s="19"/>
    </row>
    <row r="59">
      <c r="A59" s="39">
        <v>45002.0</v>
      </c>
      <c r="B59" s="4" t="s">
        <v>242</v>
      </c>
      <c r="C59" s="21">
        <v>9.0</v>
      </c>
      <c r="E59" s="19"/>
      <c r="F59" s="5"/>
      <c r="H59" s="19"/>
    </row>
    <row r="60">
      <c r="A60" s="39">
        <v>45002.0</v>
      </c>
      <c r="B60" s="4" t="s">
        <v>47</v>
      </c>
      <c r="C60" s="21">
        <v>4.4</v>
      </c>
      <c r="E60" s="19"/>
      <c r="F60" s="5"/>
      <c r="H60" s="19"/>
    </row>
    <row r="61">
      <c r="A61" s="39">
        <v>45003.0</v>
      </c>
      <c r="B61" s="4" t="s">
        <v>164</v>
      </c>
      <c r="C61" s="21">
        <v>5.0</v>
      </c>
      <c r="E61" s="19"/>
      <c r="F61" s="5"/>
      <c r="H61" s="19"/>
    </row>
    <row r="62">
      <c r="A62" s="39">
        <v>45003.0</v>
      </c>
      <c r="B62" s="4" t="s">
        <v>127</v>
      </c>
      <c r="C62" s="21">
        <v>5.6</v>
      </c>
      <c r="E62" s="19"/>
      <c r="F62" s="5"/>
      <c r="H62" s="19"/>
    </row>
    <row r="63">
      <c r="A63" s="39">
        <v>45003.0</v>
      </c>
      <c r="B63" s="4" t="s">
        <v>47</v>
      </c>
      <c r="C63" s="21">
        <v>8.94</v>
      </c>
      <c r="E63" s="19"/>
      <c r="F63" s="5"/>
      <c r="H63" s="19"/>
    </row>
    <row r="64">
      <c r="A64" s="39">
        <v>45003.0</v>
      </c>
      <c r="B64" s="4" t="s">
        <v>422</v>
      </c>
      <c r="C64" s="21">
        <v>47.0</v>
      </c>
      <c r="E64" s="19"/>
      <c r="F64" s="5"/>
      <c r="H64" s="19"/>
    </row>
    <row r="65">
      <c r="A65" s="39">
        <v>45004.0</v>
      </c>
      <c r="B65" s="4" t="s">
        <v>47</v>
      </c>
      <c r="C65" s="21">
        <v>8.9</v>
      </c>
      <c r="E65" s="19"/>
      <c r="F65" s="5"/>
      <c r="H65" s="19"/>
    </row>
    <row r="66">
      <c r="A66" s="39">
        <v>45005.0</v>
      </c>
      <c r="B66" s="4" t="s">
        <v>500</v>
      </c>
      <c r="C66" s="21">
        <v>25.0</v>
      </c>
      <c r="E66" s="19"/>
      <c r="F66" s="5"/>
      <c r="H66" s="19"/>
    </row>
    <row r="67">
      <c r="A67" s="39">
        <v>45005.0</v>
      </c>
      <c r="B67" s="4" t="s">
        <v>59</v>
      </c>
      <c r="C67" s="21">
        <v>28.8</v>
      </c>
      <c r="E67" s="19"/>
      <c r="F67" s="5"/>
      <c r="H67" s="19"/>
    </row>
    <row r="68">
      <c r="A68" s="39">
        <v>45006.0</v>
      </c>
      <c r="B68" s="4" t="s">
        <v>52</v>
      </c>
      <c r="C68" s="21">
        <v>11.05</v>
      </c>
      <c r="E68" s="19"/>
      <c r="F68" s="5"/>
      <c r="H68" s="19"/>
    </row>
    <row r="69">
      <c r="A69" s="39">
        <v>45006.0</v>
      </c>
      <c r="B69" s="4" t="s">
        <v>154</v>
      </c>
      <c r="C69" s="21">
        <v>11.5</v>
      </c>
      <c r="E69" s="19"/>
      <c r="F69" s="5"/>
      <c r="H69" s="19"/>
    </row>
    <row r="70">
      <c r="A70" s="39">
        <v>45007.0</v>
      </c>
      <c r="B70" s="4" t="s">
        <v>480</v>
      </c>
      <c r="C70" s="21">
        <v>250.0</v>
      </c>
      <c r="E70" s="19"/>
      <c r="F70" s="5"/>
      <c r="H70" s="19"/>
    </row>
    <row r="71">
      <c r="A71" s="39">
        <v>45007.0</v>
      </c>
      <c r="B71" s="4" t="s">
        <v>252</v>
      </c>
      <c r="C71" s="21">
        <v>35.99</v>
      </c>
      <c r="E71" s="19"/>
      <c r="F71" s="5"/>
      <c r="H71" s="19"/>
    </row>
    <row r="72">
      <c r="A72" s="39">
        <v>45007.0</v>
      </c>
      <c r="B72" s="4" t="s">
        <v>253</v>
      </c>
      <c r="C72" s="21">
        <v>49.0</v>
      </c>
      <c r="E72" s="19"/>
      <c r="F72" s="5"/>
      <c r="H72" s="19"/>
    </row>
    <row r="73">
      <c r="A73" s="39">
        <v>45007.0</v>
      </c>
      <c r="B73" s="4" t="s">
        <v>263</v>
      </c>
      <c r="C73" s="21">
        <v>17.33</v>
      </c>
      <c r="E73" s="19"/>
      <c r="F73" s="5"/>
      <c r="H73" s="19"/>
    </row>
    <row r="74">
      <c r="A74" s="39">
        <v>45007.0</v>
      </c>
      <c r="B74" s="4" t="s">
        <v>501</v>
      </c>
      <c r="C74" s="21">
        <v>33.78</v>
      </c>
      <c r="E74" s="19"/>
      <c r="F74" s="5"/>
      <c r="H74" s="19"/>
    </row>
    <row r="75">
      <c r="A75" s="39">
        <v>45007.0</v>
      </c>
      <c r="B75" s="4" t="s">
        <v>502</v>
      </c>
      <c r="C75" s="21">
        <v>16.0</v>
      </c>
      <c r="E75" s="19"/>
      <c r="F75" s="5"/>
      <c r="H75" s="19"/>
    </row>
    <row r="76">
      <c r="A76" s="39">
        <v>45007.0</v>
      </c>
      <c r="B76" s="4" t="s">
        <v>47</v>
      </c>
      <c r="C76" s="21">
        <v>3.5</v>
      </c>
      <c r="E76" s="19"/>
      <c r="F76" s="5"/>
      <c r="H76" s="19"/>
    </row>
    <row r="77">
      <c r="A77" s="39">
        <v>45007.0</v>
      </c>
      <c r="B77" s="4" t="s">
        <v>53</v>
      </c>
      <c r="C77" s="21">
        <v>12.56</v>
      </c>
      <c r="E77" s="19"/>
      <c r="F77" s="5"/>
      <c r="H77" s="19"/>
    </row>
    <row r="78">
      <c r="A78" s="39">
        <v>45008.0</v>
      </c>
      <c r="B78" s="4" t="s">
        <v>47</v>
      </c>
      <c r="C78" s="21">
        <v>3.5</v>
      </c>
      <c r="E78" s="19"/>
      <c r="F78" s="5"/>
      <c r="H78" s="19"/>
    </row>
    <row r="79">
      <c r="A79" s="39">
        <v>45009.0</v>
      </c>
      <c r="B79" s="4" t="s">
        <v>503</v>
      </c>
      <c r="C79" s="21">
        <v>9.0</v>
      </c>
      <c r="E79" s="19"/>
      <c r="F79" s="5"/>
      <c r="H79" s="19"/>
    </row>
    <row r="80">
      <c r="A80" s="39">
        <v>45009.0</v>
      </c>
      <c r="B80" s="4" t="s">
        <v>127</v>
      </c>
      <c r="C80" s="21">
        <v>9.35</v>
      </c>
      <c r="E80" s="19"/>
      <c r="F80" s="5"/>
      <c r="H80" s="19"/>
    </row>
    <row r="81">
      <c r="A81" s="39">
        <v>45010.0</v>
      </c>
      <c r="B81" s="4" t="s">
        <v>59</v>
      </c>
      <c r="C81" s="21">
        <f>34.25-(3.25+4+1.6+1.5)</f>
        <v>23.9</v>
      </c>
      <c r="E81" s="19"/>
      <c r="F81" s="5"/>
      <c r="H81" s="19"/>
    </row>
    <row r="82">
      <c r="A82" s="39">
        <v>45010.0</v>
      </c>
      <c r="B82" s="4" t="s">
        <v>127</v>
      </c>
      <c r="C82" s="21">
        <v>7.35</v>
      </c>
      <c r="E82" s="19"/>
      <c r="F82" s="21"/>
      <c r="H82" s="19"/>
    </row>
    <row r="83">
      <c r="A83" s="39">
        <v>45010.0</v>
      </c>
      <c r="B83" s="4" t="s">
        <v>45</v>
      </c>
      <c r="C83" s="21">
        <v>13.5</v>
      </c>
      <c r="E83" s="19"/>
      <c r="F83" s="5"/>
      <c r="H83" s="19"/>
    </row>
    <row r="84">
      <c r="A84" s="39">
        <v>45010.0</v>
      </c>
      <c r="B84" s="4" t="s">
        <v>45</v>
      </c>
      <c r="C84" s="21">
        <v>4.6</v>
      </c>
      <c r="E84" s="19"/>
      <c r="F84" s="5"/>
      <c r="H84" s="19"/>
    </row>
    <row r="85">
      <c r="A85" s="39">
        <v>45010.0</v>
      </c>
      <c r="B85" s="4" t="s">
        <v>45</v>
      </c>
      <c r="C85" s="21">
        <v>13.02</v>
      </c>
      <c r="E85" s="19"/>
      <c r="F85" s="5"/>
      <c r="H85" s="19"/>
    </row>
    <row r="86">
      <c r="A86" s="39">
        <v>45010.0</v>
      </c>
      <c r="B86" s="4" t="s">
        <v>45</v>
      </c>
      <c r="C86" s="21">
        <v>6.51</v>
      </c>
      <c r="E86" s="19"/>
      <c r="F86" s="5"/>
      <c r="H86" s="19"/>
    </row>
    <row r="87">
      <c r="A87" s="39">
        <v>45010.0</v>
      </c>
      <c r="B87" s="4" t="s">
        <v>52</v>
      </c>
      <c r="C87" s="21">
        <v>12.9</v>
      </c>
      <c r="E87" s="19"/>
      <c r="F87" s="5"/>
      <c r="H87" s="19"/>
    </row>
    <row r="88">
      <c r="A88" s="39">
        <v>45011.0</v>
      </c>
      <c r="B88" s="4" t="s">
        <v>73</v>
      </c>
      <c r="C88" s="21">
        <f>6.36+12.5</f>
        <v>18.86</v>
      </c>
      <c r="E88" s="19"/>
      <c r="F88" s="5"/>
      <c r="H88" s="19"/>
    </row>
    <row r="89">
      <c r="A89" s="39">
        <v>45012.0</v>
      </c>
      <c r="B89" s="4" t="s">
        <v>47</v>
      </c>
      <c r="C89" s="21">
        <v>14.84</v>
      </c>
      <c r="E89" s="19"/>
      <c r="F89" s="5"/>
      <c r="H89" s="19"/>
    </row>
    <row r="90">
      <c r="A90" s="39">
        <v>45013.0</v>
      </c>
      <c r="B90" s="4" t="s">
        <v>64</v>
      </c>
      <c r="C90" s="21">
        <v>26.0</v>
      </c>
      <c r="E90" s="19"/>
      <c r="F90" s="5"/>
      <c r="H90" s="19"/>
    </row>
    <row r="91">
      <c r="A91" s="39">
        <v>45014.0</v>
      </c>
      <c r="B91" s="4" t="s">
        <v>47</v>
      </c>
      <c r="C91" s="21">
        <v>3.5</v>
      </c>
      <c r="E91" s="19"/>
      <c r="F91" s="5"/>
      <c r="H91" s="19"/>
    </row>
    <row r="92">
      <c r="A92" s="39">
        <v>45014.0</v>
      </c>
      <c r="B92" s="4" t="s">
        <v>302</v>
      </c>
      <c r="C92" s="21">
        <v>23.95</v>
      </c>
      <c r="E92" s="19"/>
      <c r="F92" s="5"/>
      <c r="H92" s="19"/>
    </row>
    <row r="93">
      <c r="A93" s="39">
        <v>45014.0</v>
      </c>
      <c r="B93" s="4" t="s">
        <v>47</v>
      </c>
      <c r="C93" s="21">
        <v>4.16</v>
      </c>
      <c r="E93" s="19"/>
      <c r="F93" s="5"/>
      <c r="H93" s="19"/>
    </row>
    <row r="94">
      <c r="A94" s="39">
        <v>45015.0</v>
      </c>
      <c r="B94" s="4" t="s">
        <v>140</v>
      </c>
      <c r="C94" s="21">
        <v>7.95</v>
      </c>
      <c r="E94" s="19"/>
      <c r="F94" s="5"/>
      <c r="H94" s="19"/>
    </row>
    <row r="95">
      <c r="A95" s="39">
        <v>45015.0</v>
      </c>
      <c r="B95" s="4" t="s">
        <v>45</v>
      </c>
      <c r="C95" s="21">
        <v>11.8</v>
      </c>
      <c r="E95" s="19"/>
      <c r="F95" s="5"/>
      <c r="H95" s="19"/>
    </row>
    <row r="96">
      <c r="A96" s="39">
        <v>45015.0</v>
      </c>
      <c r="B96" s="4" t="s">
        <v>127</v>
      </c>
      <c r="C96" s="21">
        <v>6.8</v>
      </c>
      <c r="E96" s="19"/>
      <c r="F96" s="5"/>
      <c r="H96" s="19"/>
    </row>
    <row r="97">
      <c r="A97" s="39">
        <v>45015.0</v>
      </c>
      <c r="B97" s="4" t="s">
        <v>209</v>
      </c>
      <c r="C97" s="21">
        <f>4.85+0.75</f>
        <v>5.6</v>
      </c>
      <c r="E97" s="19"/>
      <c r="F97" s="5"/>
      <c r="H97" s="19"/>
    </row>
    <row r="98">
      <c r="A98" s="39">
        <v>45015.0</v>
      </c>
      <c r="B98" s="4" t="s">
        <v>45</v>
      </c>
      <c r="C98" s="21">
        <v>11.7</v>
      </c>
      <c r="E98" s="19"/>
      <c r="F98" s="5"/>
      <c r="H98" s="19"/>
    </row>
    <row r="99">
      <c r="A99" s="39">
        <v>45015.0</v>
      </c>
      <c r="B99" s="4" t="s">
        <v>45</v>
      </c>
      <c r="C99" s="21">
        <v>11.4</v>
      </c>
      <c r="E99" s="19"/>
      <c r="F99" s="5"/>
      <c r="H99" s="19"/>
    </row>
    <row r="100">
      <c r="A100" s="39">
        <v>45016.0</v>
      </c>
      <c r="B100" s="4" t="s">
        <v>140</v>
      </c>
      <c r="C100" s="21">
        <v>13.86</v>
      </c>
      <c r="E100" s="19"/>
      <c r="F100" s="5"/>
      <c r="H100" s="19"/>
    </row>
    <row r="101">
      <c r="A101" s="39">
        <v>45016.0</v>
      </c>
      <c r="B101" s="4" t="s">
        <v>45</v>
      </c>
      <c r="C101" s="21">
        <v>16.05</v>
      </c>
      <c r="E101" s="19"/>
      <c r="F101" s="5"/>
      <c r="H101" s="19"/>
    </row>
    <row r="102">
      <c r="A102" s="39">
        <v>45016.0</v>
      </c>
      <c r="B102" s="4" t="s">
        <v>127</v>
      </c>
      <c r="C102" s="21">
        <v>8.1</v>
      </c>
      <c r="E102" s="19"/>
      <c r="F102" s="5"/>
      <c r="H102" s="19"/>
    </row>
    <row r="103">
      <c r="A103" s="39">
        <v>45016.0</v>
      </c>
      <c r="B103" s="4" t="s">
        <v>209</v>
      </c>
      <c r="C103" s="21">
        <v>4.04</v>
      </c>
      <c r="E103" s="19"/>
      <c r="F103" s="5"/>
      <c r="H103" s="19"/>
    </row>
    <row r="104">
      <c r="A104" s="39">
        <v>45016.0</v>
      </c>
      <c r="B104" s="4" t="s">
        <v>230</v>
      </c>
      <c r="C104" s="21">
        <v>10.7</v>
      </c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0">
    <cfRule type="cellIs" dxfId="3" priority="3" operator="greaterThan">
      <formula>0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249.78</v>
      </c>
      <c r="H1" s="1" t="s">
        <v>46</v>
      </c>
      <c r="I1" s="5">
        <f>I5-I6</f>
        <v>-234.04</v>
      </c>
      <c r="J1" s="19"/>
      <c r="K1" s="1" t="s">
        <v>47</v>
      </c>
      <c r="L1" s="5">
        <f t="shared" ref="L1:L4" si="1">SUMIF(B:B,K1,C:I)</f>
        <v>55.04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44958.0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34.4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60.39</v>
      </c>
      <c r="N2" s="39">
        <v>44958.0</v>
      </c>
      <c r="O2" s="5">
        <f>sumif(A:A,N2,C:C)-I3</f>
        <v>445.98</v>
      </c>
      <c r="P2" s="5">
        <f>SUM(O2)</f>
        <v>445.98</v>
      </c>
    </row>
    <row r="3">
      <c r="A3" s="39">
        <v>44958.0</v>
      </c>
      <c r="B3" s="4" t="s">
        <v>504</v>
      </c>
      <c r="C3" s="12">
        <v>95.99</v>
      </c>
      <c r="E3" s="1" t="s">
        <v>209</v>
      </c>
      <c r="F3" s="5">
        <f>SUMIF(B:B,"Pret",C:C)+SUMIF(B:B,"Breakfast",C:C)</f>
        <v>13.53</v>
      </c>
      <c r="H3" s="1" t="s">
        <v>8</v>
      </c>
      <c r="I3" s="5">
        <f>SUMIF(B:B,H3,C:C)+I1</f>
        <v>15.96</v>
      </c>
      <c r="K3" s="1" t="s">
        <v>56</v>
      </c>
      <c r="L3" s="5">
        <f t="shared" si="1"/>
        <v>1.35</v>
      </c>
      <c r="N3" s="39">
        <v>44959.0</v>
      </c>
      <c r="O3" s="40">
        <f t="shared" ref="O3:O29" si="2">sumif(A:A,N3,C:C)</f>
        <v>23.47</v>
      </c>
      <c r="P3" s="5">
        <f t="shared" ref="P3:P29" si="3">P2+O3</f>
        <v>469.45</v>
      </c>
    </row>
    <row r="4">
      <c r="A4" s="39">
        <v>44958.0</v>
      </c>
      <c r="B4" s="4" t="s">
        <v>505</v>
      </c>
      <c r="C4" s="21">
        <v>105.0</v>
      </c>
      <c r="E4" s="1" t="s">
        <v>140</v>
      </c>
      <c r="F4" s="5">
        <f>SUMIF(B:B,E4,C:C)</f>
        <v>22.85</v>
      </c>
      <c r="K4" s="1" t="s">
        <v>59</v>
      </c>
      <c r="L4" s="5">
        <f t="shared" si="1"/>
        <v>112.36</v>
      </c>
      <c r="N4" s="39">
        <v>44960.0</v>
      </c>
      <c r="O4" s="40">
        <f t="shared" si="2"/>
        <v>58.96</v>
      </c>
      <c r="P4" s="5">
        <f t="shared" si="3"/>
        <v>528.41</v>
      </c>
    </row>
    <row r="5">
      <c r="A5" s="39">
        <v>44958.0</v>
      </c>
      <c r="B5" s="4" t="s">
        <v>47</v>
      </c>
      <c r="C5" s="21">
        <v>9.25</v>
      </c>
      <c r="E5" s="1" t="s">
        <v>57</v>
      </c>
      <c r="F5" s="5">
        <f>sum(L:L)</f>
        <v>229.14</v>
      </c>
      <c r="H5" s="1" t="s">
        <v>65</v>
      </c>
      <c r="I5" s="58">
        <v>2570.56</v>
      </c>
      <c r="N5" s="39">
        <v>44961.0</v>
      </c>
      <c r="O5" s="40">
        <f t="shared" si="2"/>
        <v>23.55</v>
      </c>
      <c r="P5" s="5">
        <f t="shared" si="3"/>
        <v>551.96</v>
      </c>
    </row>
    <row r="6">
      <c r="A6" s="39">
        <v>44958.0</v>
      </c>
      <c r="B6" s="4" t="s">
        <v>127</v>
      </c>
      <c r="C6" s="21">
        <v>1.7</v>
      </c>
      <c r="E6" s="42" t="s">
        <v>61</v>
      </c>
      <c r="F6" s="5">
        <f>SUMIF(B:B,"Games",C:C)+SUMIF(B:B,"Spotify",C:C)+SUMIF(B:B,"Disney+",C:C)+SUMIF(B:B,"Book",C:C)+SUMIF(B:B,"Audible",C:C)</f>
        <v>57.88</v>
      </c>
      <c r="H6" s="1" t="s">
        <v>68</v>
      </c>
      <c r="I6" s="5">
        <f>sum(C:C)</f>
        <v>2804.6</v>
      </c>
      <c r="N6" s="39">
        <v>44962.0</v>
      </c>
      <c r="O6" s="40">
        <f t="shared" si="2"/>
        <v>28.4</v>
      </c>
      <c r="P6" s="5">
        <f t="shared" si="3"/>
        <v>580.36</v>
      </c>
    </row>
    <row r="7">
      <c r="A7" s="39">
        <v>44959.0</v>
      </c>
      <c r="B7" s="4" t="s">
        <v>209</v>
      </c>
      <c r="C7" s="21">
        <v>3.99</v>
      </c>
      <c r="E7" s="1" t="s">
        <v>64</v>
      </c>
      <c r="F7" s="5">
        <f>SUMIF(B:B,E7,C:C)+SUMIF(B:B,"Shoes",C:C)</f>
        <v>0</v>
      </c>
      <c r="H7" s="1" t="s">
        <v>72</v>
      </c>
      <c r="I7" s="5">
        <f>sum(F:F)+I2+I3</f>
        <v>2097.26</v>
      </c>
      <c r="N7" s="39">
        <v>44963.0</v>
      </c>
      <c r="O7" s="40">
        <f t="shared" si="2"/>
        <v>56.1</v>
      </c>
      <c r="P7" s="5">
        <f t="shared" si="3"/>
        <v>636.46</v>
      </c>
    </row>
    <row r="8">
      <c r="A8" s="39">
        <v>44959.0</v>
      </c>
      <c r="B8" s="4" t="s">
        <v>127</v>
      </c>
      <c r="C8" s="21">
        <v>1.7</v>
      </c>
      <c r="E8" s="1" t="s">
        <v>54</v>
      </c>
      <c r="F8" s="5">
        <f>SUMIF(B:B,E8,C:C)+SUMIF(B:B,"Gym",C:C)+SUMIF(B:B,"Phone",C:C)</f>
        <v>1139.99</v>
      </c>
      <c r="H8" s="1" t="s">
        <v>74</v>
      </c>
      <c r="I8" s="5">
        <f>I6-I7</f>
        <v>707.34</v>
      </c>
      <c r="N8" s="39">
        <v>44964.0</v>
      </c>
      <c r="O8" s="40">
        <f t="shared" si="2"/>
        <v>50.8</v>
      </c>
      <c r="P8" s="5">
        <f t="shared" si="3"/>
        <v>687.26</v>
      </c>
    </row>
    <row r="9">
      <c r="A9" s="39">
        <v>44959.0</v>
      </c>
      <c r="B9" s="4" t="s">
        <v>56</v>
      </c>
      <c r="C9" s="21">
        <v>1.35</v>
      </c>
      <c r="E9" s="1" t="s">
        <v>127</v>
      </c>
      <c r="F9" s="5">
        <f>SUMIF(B:B,E9,C:C)</f>
        <v>53.3</v>
      </c>
      <c r="H9" s="1"/>
      <c r="N9" s="39">
        <v>44965.0</v>
      </c>
      <c r="O9" s="40">
        <f t="shared" si="2"/>
        <v>0</v>
      </c>
      <c r="P9" s="5">
        <f t="shared" si="3"/>
        <v>687.26</v>
      </c>
    </row>
    <row r="10">
      <c r="A10" s="39">
        <v>44959.0</v>
      </c>
      <c r="B10" s="4" t="s">
        <v>59</v>
      </c>
      <c r="C10" s="21">
        <v>16.43</v>
      </c>
      <c r="E10" s="1" t="s">
        <v>164</v>
      </c>
      <c r="F10" s="48">
        <f>SUMIF(B:B,"Cigs",C:C)</f>
        <v>17.25</v>
      </c>
      <c r="H10" s="53" t="s">
        <v>3</v>
      </c>
      <c r="I10" s="54">
        <f>(I3+I2)/I5</f>
        <v>0.1034638367</v>
      </c>
      <c r="N10" s="39">
        <v>44966.0</v>
      </c>
      <c r="O10" s="40">
        <f t="shared" si="2"/>
        <v>29.98</v>
      </c>
      <c r="P10" s="5">
        <f t="shared" si="3"/>
        <v>717.24</v>
      </c>
    </row>
    <row r="11">
      <c r="A11" s="39">
        <v>44960.0</v>
      </c>
      <c r="B11" s="4" t="s">
        <v>230</v>
      </c>
      <c r="C11" s="21">
        <v>43.9</v>
      </c>
      <c r="E11" s="1" t="s">
        <v>73</v>
      </c>
      <c r="F11" s="5">
        <f>SUMIF(B:B,"Uber",C:C)</f>
        <v>13.18</v>
      </c>
      <c r="N11" s="39">
        <v>44967.0</v>
      </c>
      <c r="O11" s="40">
        <f t="shared" si="2"/>
        <v>18.69</v>
      </c>
      <c r="P11" s="5">
        <f t="shared" si="3"/>
        <v>735.93</v>
      </c>
    </row>
    <row r="12">
      <c r="A12" s="39">
        <v>44960.0</v>
      </c>
      <c r="B12" s="4" t="s">
        <v>127</v>
      </c>
      <c r="C12" s="21">
        <v>6.4</v>
      </c>
      <c r="N12" s="39">
        <v>44968.0</v>
      </c>
      <c r="O12" s="40">
        <f t="shared" si="2"/>
        <v>77</v>
      </c>
      <c r="P12" s="5">
        <f t="shared" si="3"/>
        <v>812.93</v>
      </c>
    </row>
    <row r="13">
      <c r="A13" s="39">
        <v>44960.0</v>
      </c>
      <c r="B13" s="4" t="s">
        <v>59</v>
      </c>
      <c r="C13" s="21">
        <v>8.66</v>
      </c>
      <c r="N13" s="39">
        <v>44969.0</v>
      </c>
      <c r="O13" s="40">
        <f t="shared" si="2"/>
        <v>4.45</v>
      </c>
      <c r="P13" s="5">
        <f t="shared" si="3"/>
        <v>817.38</v>
      </c>
    </row>
    <row r="14">
      <c r="A14" s="39">
        <v>44961.0</v>
      </c>
      <c r="B14" s="4" t="s">
        <v>45</v>
      </c>
      <c r="C14" s="21">
        <v>12.35</v>
      </c>
      <c r="H14" s="19"/>
      <c r="N14" s="39">
        <v>44970.0</v>
      </c>
      <c r="O14" s="40">
        <f t="shared" si="2"/>
        <v>38.11</v>
      </c>
      <c r="P14" s="5">
        <f t="shared" si="3"/>
        <v>855.49</v>
      </c>
    </row>
    <row r="15">
      <c r="A15" s="39">
        <v>44961.0</v>
      </c>
      <c r="B15" s="4" t="s">
        <v>45</v>
      </c>
      <c r="C15" s="21">
        <v>11.2</v>
      </c>
      <c r="H15" s="19"/>
      <c r="N15" s="39">
        <v>44971.0</v>
      </c>
      <c r="O15" s="40">
        <f t="shared" si="2"/>
        <v>2.55</v>
      </c>
      <c r="P15" s="5">
        <f t="shared" si="3"/>
        <v>858.04</v>
      </c>
    </row>
    <row r="16">
      <c r="A16" s="39">
        <v>44962.0</v>
      </c>
      <c r="B16" s="4" t="s">
        <v>45</v>
      </c>
      <c r="C16" s="21">
        <v>8.0</v>
      </c>
      <c r="H16" s="19"/>
      <c r="N16" s="39">
        <v>44972.0</v>
      </c>
      <c r="O16" s="40">
        <f t="shared" si="2"/>
        <v>1064.99</v>
      </c>
      <c r="P16" s="5">
        <f t="shared" si="3"/>
        <v>1923.03</v>
      </c>
    </row>
    <row r="17">
      <c r="A17" s="39">
        <v>44962.0</v>
      </c>
      <c r="B17" s="4" t="s">
        <v>45</v>
      </c>
      <c r="C17" s="21">
        <v>11.8</v>
      </c>
      <c r="H17" s="19"/>
      <c r="N17" s="39">
        <v>44973.0</v>
      </c>
      <c r="O17" s="40">
        <f t="shared" si="2"/>
        <v>33.39</v>
      </c>
      <c r="P17" s="5">
        <f t="shared" si="3"/>
        <v>1956.42</v>
      </c>
    </row>
    <row r="18">
      <c r="A18" s="39">
        <v>44962.0</v>
      </c>
      <c r="B18" s="4" t="s">
        <v>52</v>
      </c>
      <c r="C18" s="21">
        <v>6.0</v>
      </c>
      <c r="H18" s="19"/>
      <c r="N18" s="39">
        <v>44974.0</v>
      </c>
      <c r="O18" s="40">
        <f t="shared" si="2"/>
        <v>50.68</v>
      </c>
      <c r="P18" s="5">
        <f t="shared" si="3"/>
        <v>2007.1</v>
      </c>
    </row>
    <row r="19">
      <c r="A19" s="39">
        <v>44962.0</v>
      </c>
      <c r="B19" s="4" t="s">
        <v>127</v>
      </c>
      <c r="C19" s="21">
        <v>2.6</v>
      </c>
      <c r="H19" s="19"/>
      <c r="N19" s="39">
        <v>44975.0</v>
      </c>
      <c r="O19" s="40">
        <f t="shared" si="2"/>
        <v>14.51</v>
      </c>
      <c r="P19" s="5">
        <f t="shared" si="3"/>
        <v>2021.61</v>
      </c>
    </row>
    <row r="20">
      <c r="A20" s="39">
        <v>44963.0</v>
      </c>
      <c r="B20" s="4" t="s">
        <v>242</v>
      </c>
      <c r="C20" s="21">
        <v>12.7</v>
      </c>
      <c r="H20" s="19"/>
      <c r="N20" s="39">
        <v>44976.0</v>
      </c>
      <c r="O20" s="40">
        <f t="shared" si="2"/>
        <v>207.77</v>
      </c>
      <c r="P20" s="5">
        <f t="shared" si="3"/>
        <v>2229.38</v>
      </c>
    </row>
    <row r="21">
      <c r="A21" s="39">
        <v>44963.0</v>
      </c>
      <c r="B21" s="4" t="s">
        <v>506</v>
      </c>
      <c r="C21" s="21">
        <v>14.1</v>
      </c>
      <c r="E21" s="19"/>
      <c r="F21" s="5"/>
      <c r="H21" s="19"/>
      <c r="N21" s="39">
        <v>44977.0</v>
      </c>
      <c r="O21" s="40">
        <f t="shared" si="2"/>
        <v>31.22</v>
      </c>
      <c r="P21" s="5">
        <f t="shared" si="3"/>
        <v>2260.6</v>
      </c>
    </row>
    <row r="22">
      <c r="A22" s="39">
        <v>44963.0</v>
      </c>
      <c r="B22" s="4" t="s">
        <v>127</v>
      </c>
      <c r="C22" s="21">
        <v>2.6</v>
      </c>
      <c r="E22" s="19"/>
      <c r="F22" s="5"/>
      <c r="H22" s="19"/>
      <c r="N22" s="39">
        <v>44978.0</v>
      </c>
      <c r="O22" s="40">
        <f t="shared" si="2"/>
        <v>16.4</v>
      </c>
      <c r="P22" s="5">
        <f t="shared" si="3"/>
        <v>2277</v>
      </c>
    </row>
    <row r="23">
      <c r="A23" s="39">
        <v>44963.0</v>
      </c>
      <c r="B23" s="4" t="s">
        <v>59</v>
      </c>
      <c r="C23" s="21">
        <v>26.7</v>
      </c>
      <c r="E23" s="19"/>
      <c r="F23" s="5"/>
      <c r="H23" s="19"/>
      <c r="N23" s="39">
        <v>44979.0</v>
      </c>
      <c r="O23" s="40">
        <f t="shared" si="2"/>
        <v>341.59</v>
      </c>
      <c r="P23" s="5">
        <f t="shared" si="3"/>
        <v>2618.59</v>
      </c>
    </row>
    <row r="24">
      <c r="A24" s="39">
        <v>44964.0</v>
      </c>
      <c r="B24" s="4" t="s">
        <v>53</v>
      </c>
      <c r="C24" s="21">
        <v>23.8</v>
      </c>
      <c r="E24" s="19"/>
      <c r="F24" s="5"/>
      <c r="H24" s="19"/>
      <c r="N24" s="39">
        <v>44980.0</v>
      </c>
      <c r="O24" s="40">
        <f t="shared" si="2"/>
        <v>22.3</v>
      </c>
      <c r="P24" s="5">
        <f t="shared" si="3"/>
        <v>2640.89</v>
      </c>
    </row>
    <row r="25">
      <c r="A25" s="39">
        <v>44964.0</v>
      </c>
      <c r="B25" s="4" t="s">
        <v>302</v>
      </c>
      <c r="C25" s="21">
        <v>27.0</v>
      </c>
      <c r="E25" s="19"/>
      <c r="F25" s="5"/>
      <c r="H25" s="19"/>
      <c r="N25" s="39">
        <v>44981.0</v>
      </c>
      <c r="O25" s="40">
        <f t="shared" si="2"/>
        <v>26.2</v>
      </c>
      <c r="P25" s="5">
        <f t="shared" si="3"/>
        <v>2667.09</v>
      </c>
    </row>
    <row r="26">
      <c r="A26" s="39">
        <v>44966.0</v>
      </c>
      <c r="B26" s="4" t="s">
        <v>140</v>
      </c>
      <c r="C26" s="21">
        <v>12.85</v>
      </c>
      <c r="E26" s="19"/>
      <c r="F26" s="5"/>
      <c r="H26" s="19"/>
      <c r="N26" s="39">
        <v>44982.0</v>
      </c>
      <c r="O26" s="40">
        <f t="shared" si="2"/>
        <v>42.26</v>
      </c>
      <c r="P26" s="5">
        <f t="shared" si="3"/>
        <v>2709.35</v>
      </c>
    </row>
    <row r="27">
      <c r="A27" s="39">
        <v>44966.0</v>
      </c>
      <c r="B27" s="4" t="s">
        <v>59</v>
      </c>
      <c r="C27" s="21">
        <v>17.13</v>
      </c>
      <c r="E27" s="19"/>
      <c r="F27" s="5"/>
      <c r="H27" s="19"/>
      <c r="N27" s="39">
        <v>44983.0</v>
      </c>
      <c r="O27" s="40">
        <f t="shared" si="2"/>
        <v>38.67</v>
      </c>
      <c r="P27" s="5">
        <f t="shared" si="3"/>
        <v>2748.02</v>
      </c>
    </row>
    <row r="28">
      <c r="A28" s="39">
        <v>44967.0</v>
      </c>
      <c r="B28" s="4" t="s">
        <v>127</v>
      </c>
      <c r="C28" s="21">
        <v>6.4</v>
      </c>
      <c r="E28" s="19"/>
      <c r="F28" s="5"/>
      <c r="H28" s="19"/>
      <c r="N28" s="39">
        <v>44984.0</v>
      </c>
      <c r="O28" s="40">
        <f t="shared" si="2"/>
        <v>38.42</v>
      </c>
      <c r="P28" s="5">
        <f t="shared" si="3"/>
        <v>2786.44</v>
      </c>
    </row>
    <row r="29">
      <c r="A29" s="39">
        <v>44967.0</v>
      </c>
      <c r="B29" s="4" t="s">
        <v>47</v>
      </c>
      <c r="C29" s="21">
        <v>8.3</v>
      </c>
      <c r="E29" s="19"/>
      <c r="F29" s="5"/>
      <c r="H29" s="19"/>
      <c r="N29" s="39">
        <v>44985.0</v>
      </c>
      <c r="O29" s="40">
        <f t="shared" si="2"/>
        <v>2.2</v>
      </c>
      <c r="P29" s="5">
        <f t="shared" si="3"/>
        <v>2788.64</v>
      </c>
    </row>
    <row r="30">
      <c r="A30" s="39">
        <v>44967.0</v>
      </c>
      <c r="B30" s="4" t="s">
        <v>497</v>
      </c>
      <c r="C30" s="21">
        <v>3.99</v>
      </c>
      <c r="E30" s="19"/>
      <c r="F30" s="5"/>
      <c r="H30" s="19"/>
      <c r="N30" s="39"/>
    </row>
    <row r="31">
      <c r="A31" s="39">
        <v>44968.0</v>
      </c>
      <c r="B31" s="4" t="s">
        <v>45</v>
      </c>
      <c r="C31" s="21">
        <v>19.0</v>
      </c>
      <c r="E31" s="19"/>
      <c r="F31" s="5"/>
      <c r="H31" s="19"/>
      <c r="N31" s="39"/>
    </row>
    <row r="32">
      <c r="A32" s="39">
        <v>44968.0</v>
      </c>
      <c r="B32" s="4" t="s">
        <v>47</v>
      </c>
      <c r="C32" s="21">
        <v>7.75</v>
      </c>
      <c r="E32" s="19"/>
      <c r="F32" s="5"/>
      <c r="H32" s="19"/>
      <c r="N32" s="39"/>
    </row>
    <row r="33">
      <c r="A33" s="39">
        <v>44968.0</v>
      </c>
      <c r="B33" s="4" t="s">
        <v>164</v>
      </c>
      <c r="C33" s="21">
        <v>17.25</v>
      </c>
      <c r="E33" s="19"/>
      <c r="F33" s="5"/>
      <c r="H33" s="19"/>
      <c r="N33" s="39"/>
    </row>
    <row r="34">
      <c r="A34" s="39">
        <v>44968.0</v>
      </c>
      <c r="B34" s="4" t="s">
        <v>45</v>
      </c>
      <c r="C34" s="21">
        <v>14.1</v>
      </c>
      <c r="E34" s="19"/>
      <c r="F34" s="5"/>
      <c r="H34" s="19"/>
    </row>
    <row r="35">
      <c r="A35" s="39">
        <v>44968.0</v>
      </c>
      <c r="B35" s="4" t="s">
        <v>45</v>
      </c>
      <c r="C35" s="21">
        <v>13.5</v>
      </c>
      <c r="E35" s="19"/>
      <c r="F35" s="5"/>
      <c r="H35" s="19"/>
    </row>
    <row r="36">
      <c r="A36" s="39">
        <v>44968.0</v>
      </c>
      <c r="B36" s="4" t="s">
        <v>45</v>
      </c>
      <c r="C36" s="21">
        <v>5.4</v>
      </c>
      <c r="E36" s="19"/>
      <c r="F36" s="5"/>
      <c r="H36" s="19"/>
    </row>
    <row r="37">
      <c r="A37" s="39">
        <v>44969.0</v>
      </c>
      <c r="B37" s="4" t="s">
        <v>47</v>
      </c>
      <c r="C37" s="21">
        <f>12.45-8</f>
        <v>4.45</v>
      </c>
      <c r="E37" s="19"/>
      <c r="F37" s="5"/>
      <c r="H37" s="19"/>
    </row>
    <row r="38">
      <c r="A38" s="39">
        <v>44970.0</v>
      </c>
      <c r="B38" s="4" t="s">
        <v>127</v>
      </c>
      <c r="C38" s="21">
        <v>4.9</v>
      </c>
      <c r="E38" s="19"/>
      <c r="F38" s="5"/>
      <c r="H38" s="19"/>
    </row>
    <row r="39">
      <c r="A39" s="39">
        <v>44970.0</v>
      </c>
      <c r="B39" s="4" t="s">
        <v>279</v>
      </c>
      <c r="C39" s="21">
        <v>4.99</v>
      </c>
      <c r="E39" s="19"/>
      <c r="F39" s="5"/>
      <c r="H39" s="19"/>
    </row>
    <row r="40">
      <c r="A40" s="39">
        <v>44970.0</v>
      </c>
      <c r="B40" s="4" t="s">
        <v>59</v>
      </c>
      <c r="C40" s="21">
        <f>50.12-21.9</f>
        <v>28.22</v>
      </c>
      <c r="E40" s="19"/>
      <c r="F40" s="5"/>
      <c r="H40" s="19"/>
    </row>
    <row r="41">
      <c r="A41" s="39">
        <v>44971.0</v>
      </c>
      <c r="B41" s="4" t="s">
        <v>76</v>
      </c>
      <c r="C41" s="21">
        <v>2.55</v>
      </c>
      <c r="E41" s="19"/>
      <c r="F41" s="5"/>
      <c r="H41" s="19"/>
    </row>
    <row r="42">
      <c r="A42" s="39">
        <v>44972.0</v>
      </c>
      <c r="B42" s="4" t="s">
        <v>54</v>
      </c>
      <c r="C42" s="41">
        <v>1055.0</v>
      </c>
      <c r="E42" s="19"/>
      <c r="F42" s="5"/>
      <c r="H42" s="19"/>
    </row>
    <row r="43">
      <c r="A43" s="39">
        <v>44972.0</v>
      </c>
      <c r="B43" s="4" t="s">
        <v>254</v>
      </c>
      <c r="C43" s="21">
        <v>9.99</v>
      </c>
      <c r="E43" s="19"/>
      <c r="F43" s="5"/>
      <c r="H43" s="19"/>
    </row>
    <row r="44">
      <c r="A44" s="39">
        <v>44973.0</v>
      </c>
      <c r="B44" s="4" t="s">
        <v>507</v>
      </c>
      <c r="C44" s="21">
        <v>27.0</v>
      </c>
      <c r="E44" s="19"/>
      <c r="F44" s="5"/>
      <c r="H44" s="19"/>
    </row>
    <row r="45">
      <c r="A45" s="39">
        <v>44973.0</v>
      </c>
      <c r="B45" s="4" t="s">
        <v>209</v>
      </c>
      <c r="C45" s="21">
        <v>4.69</v>
      </c>
      <c r="E45" s="19"/>
      <c r="F45" s="5"/>
      <c r="H45" s="19"/>
    </row>
    <row r="46">
      <c r="A46" s="39">
        <v>44973.0</v>
      </c>
      <c r="B46" s="4" t="s">
        <v>127</v>
      </c>
      <c r="C46" s="21">
        <v>1.7</v>
      </c>
      <c r="E46" s="19"/>
      <c r="F46" s="5"/>
      <c r="H46" s="19"/>
    </row>
    <row r="47">
      <c r="A47" s="39">
        <v>44974.0</v>
      </c>
      <c r="B47" s="4" t="s">
        <v>107</v>
      </c>
      <c r="C47" s="21">
        <v>30.0</v>
      </c>
      <c r="E47" s="19"/>
      <c r="F47" s="5"/>
      <c r="H47" s="19"/>
    </row>
    <row r="48">
      <c r="A48" s="39">
        <v>44974.0</v>
      </c>
      <c r="B48" s="4" t="s">
        <v>508</v>
      </c>
      <c r="C48" s="21">
        <v>16.09</v>
      </c>
      <c r="E48" s="19"/>
      <c r="F48" s="5"/>
      <c r="H48" s="19"/>
    </row>
    <row r="49">
      <c r="A49" s="39">
        <v>44974.0</v>
      </c>
      <c r="B49" s="4" t="s">
        <v>446</v>
      </c>
      <c r="C49" s="21">
        <v>2.59</v>
      </c>
      <c r="E49" s="19"/>
      <c r="F49" s="5"/>
      <c r="H49" s="19"/>
    </row>
    <row r="50">
      <c r="A50" s="39">
        <v>44974.0</v>
      </c>
      <c r="B50" s="4" t="s">
        <v>127</v>
      </c>
      <c r="C50" s="43">
        <v>2.0</v>
      </c>
      <c r="E50" s="19"/>
      <c r="F50" s="5"/>
      <c r="H50" s="19"/>
    </row>
    <row r="51">
      <c r="A51" s="39">
        <v>44975.0</v>
      </c>
      <c r="B51" s="4" t="s">
        <v>52</v>
      </c>
      <c r="C51" s="21">
        <f>11.57+0.34</f>
        <v>11.91</v>
      </c>
      <c r="E51" s="19"/>
      <c r="F51" s="5"/>
      <c r="H51" s="19"/>
    </row>
    <row r="52">
      <c r="A52" s="39">
        <v>44975.0</v>
      </c>
      <c r="B52" s="4" t="s">
        <v>127</v>
      </c>
      <c r="C52" s="21">
        <v>2.6</v>
      </c>
      <c r="E52" s="19"/>
      <c r="F52" s="5"/>
      <c r="H52" s="19"/>
    </row>
    <row r="53">
      <c r="A53" s="39">
        <v>44976.0</v>
      </c>
      <c r="B53" s="4" t="s">
        <v>45</v>
      </c>
      <c r="C53" s="21">
        <f>16.61+0.49</f>
        <v>17.1</v>
      </c>
      <c r="E53" s="19"/>
      <c r="F53" s="5"/>
      <c r="H53" s="19"/>
    </row>
    <row r="54">
      <c r="A54" s="39">
        <v>44976.0</v>
      </c>
      <c r="B54" s="4" t="s">
        <v>45</v>
      </c>
      <c r="C54" s="21">
        <f> 6.24</f>
        <v>6.24</v>
      </c>
      <c r="E54" s="19"/>
      <c r="F54" s="5"/>
      <c r="H54" s="19"/>
    </row>
    <row r="55">
      <c r="A55" s="39">
        <v>44976.0</v>
      </c>
      <c r="B55" s="4" t="s">
        <v>45</v>
      </c>
      <c r="C55" s="21">
        <v>25.54</v>
      </c>
      <c r="E55" s="19"/>
      <c r="F55" s="5"/>
      <c r="H55" s="19"/>
    </row>
    <row r="56">
      <c r="A56" s="39">
        <v>44976.0</v>
      </c>
      <c r="B56" s="4" t="s">
        <v>509</v>
      </c>
      <c r="C56" s="21">
        <v>33.0</v>
      </c>
      <c r="E56" s="19"/>
      <c r="F56" s="5"/>
      <c r="H56" s="19"/>
    </row>
    <row r="57">
      <c r="A57" s="39">
        <v>44976.0</v>
      </c>
      <c r="B57" s="4" t="s">
        <v>45</v>
      </c>
      <c r="C57" s="21">
        <v>14.17</v>
      </c>
      <c r="E57" s="19"/>
      <c r="F57" s="5"/>
      <c r="H57" s="19"/>
    </row>
    <row r="58">
      <c r="A58" s="39">
        <v>44976.0</v>
      </c>
      <c r="B58" s="4" t="s">
        <v>509</v>
      </c>
      <c r="C58" s="21">
        <v>23.0</v>
      </c>
      <c r="E58" s="19"/>
      <c r="F58" s="5"/>
      <c r="H58" s="19"/>
    </row>
    <row r="59">
      <c r="A59" s="39">
        <v>44976.0</v>
      </c>
      <c r="B59" s="4" t="s">
        <v>52</v>
      </c>
      <c r="C59" s="21">
        <v>6.21</v>
      </c>
      <c r="E59" s="19"/>
      <c r="F59" s="5"/>
      <c r="H59" s="19"/>
    </row>
    <row r="60">
      <c r="A60" s="39">
        <v>44976.0</v>
      </c>
      <c r="B60" s="4" t="s">
        <v>45</v>
      </c>
      <c r="C60" s="21">
        <v>27.15</v>
      </c>
      <c r="E60" s="19"/>
      <c r="F60" s="5"/>
      <c r="H60" s="19"/>
    </row>
    <row r="61">
      <c r="A61" s="39">
        <v>44976.0</v>
      </c>
      <c r="B61" s="4" t="s">
        <v>45</v>
      </c>
      <c r="C61" s="21">
        <v>21.08</v>
      </c>
      <c r="E61" s="19"/>
      <c r="F61" s="5"/>
      <c r="H61" s="19"/>
    </row>
    <row r="62">
      <c r="A62" s="39">
        <v>44976.0</v>
      </c>
      <c r="B62" s="4" t="s">
        <v>45</v>
      </c>
      <c r="C62" s="21">
        <v>8.75</v>
      </c>
      <c r="E62" s="19"/>
      <c r="F62" s="5"/>
      <c r="H62" s="19"/>
    </row>
    <row r="63">
      <c r="A63" s="39">
        <v>44976.0</v>
      </c>
      <c r="B63" s="4" t="s">
        <v>380</v>
      </c>
      <c r="C63" s="21">
        <v>16.48</v>
      </c>
      <c r="E63" s="19"/>
      <c r="F63" s="5"/>
      <c r="H63" s="19"/>
    </row>
    <row r="64">
      <c r="A64" s="39">
        <v>44976.0</v>
      </c>
      <c r="B64" s="4" t="s">
        <v>446</v>
      </c>
      <c r="C64" s="21">
        <v>4.47</v>
      </c>
      <c r="E64" s="19"/>
      <c r="F64" s="5"/>
      <c r="H64" s="19"/>
    </row>
    <row r="65">
      <c r="A65" s="39">
        <v>44976.0</v>
      </c>
      <c r="B65" s="4" t="s">
        <v>127</v>
      </c>
      <c r="C65" s="21">
        <v>1.9</v>
      </c>
      <c r="E65" s="19"/>
      <c r="F65" s="5"/>
      <c r="H65" s="19"/>
    </row>
    <row r="66">
      <c r="A66" s="39">
        <v>44976.0</v>
      </c>
      <c r="B66" s="4" t="s">
        <v>76</v>
      </c>
      <c r="C66" s="21">
        <v>2.68</v>
      </c>
      <c r="E66" s="19"/>
      <c r="F66" s="5"/>
      <c r="H66" s="19"/>
    </row>
    <row r="67">
      <c r="A67" s="39">
        <v>44979.0</v>
      </c>
      <c r="B67" s="4" t="s">
        <v>480</v>
      </c>
      <c r="C67" s="21">
        <v>250.0</v>
      </c>
      <c r="E67" s="19"/>
      <c r="F67" s="5"/>
      <c r="H67" s="19"/>
    </row>
    <row r="68">
      <c r="A68" s="39">
        <v>44979.0</v>
      </c>
      <c r="B68" s="4" t="s">
        <v>252</v>
      </c>
      <c r="C68" s="21">
        <v>35.99</v>
      </c>
      <c r="E68" s="19"/>
      <c r="F68" s="5"/>
      <c r="H68" s="19"/>
    </row>
    <row r="69">
      <c r="A69" s="39">
        <v>44979.0</v>
      </c>
      <c r="B69" s="4" t="s">
        <v>253</v>
      </c>
      <c r="C69" s="21">
        <v>49.0</v>
      </c>
      <c r="E69" s="19"/>
      <c r="F69" s="5"/>
      <c r="H69" s="19"/>
    </row>
    <row r="70">
      <c r="A70" s="39">
        <v>44977.0</v>
      </c>
      <c r="B70" s="4" t="s">
        <v>59</v>
      </c>
      <c r="C70" s="21">
        <f>31.22-16</f>
        <v>15.22</v>
      </c>
      <c r="E70" s="19"/>
      <c r="F70" s="5"/>
      <c r="H70" s="19"/>
    </row>
    <row r="71">
      <c r="A71" s="39">
        <v>44977.0</v>
      </c>
      <c r="B71" s="4" t="s">
        <v>510</v>
      </c>
      <c r="C71" s="21">
        <v>16.0</v>
      </c>
      <c r="E71" s="19"/>
      <c r="F71" s="5"/>
      <c r="H71" s="19"/>
    </row>
    <row r="72">
      <c r="A72" s="39">
        <v>44978.0</v>
      </c>
      <c r="B72" s="4" t="s">
        <v>53</v>
      </c>
      <c r="C72" s="21">
        <v>16.4</v>
      </c>
      <c r="E72" s="19"/>
      <c r="F72" s="5"/>
      <c r="H72" s="19"/>
    </row>
    <row r="73">
      <c r="A73" s="39">
        <v>44979.0</v>
      </c>
      <c r="B73" s="4" t="s">
        <v>47</v>
      </c>
      <c r="C73" s="21">
        <v>6.6</v>
      </c>
      <c r="E73" s="19"/>
      <c r="F73" s="5"/>
      <c r="H73" s="19"/>
    </row>
    <row r="74">
      <c r="A74" s="39">
        <v>44980.0</v>
      </c>
      <c r="B74" s="4" t="s">
        <v>127</v>
      </c>
      <c r="C74" s="21">
        <v>6.4</v>
      </c>
      <c r="E74" s="19"/>
      <c r="F74" s="5"/>
      <c r="H74" s="19"/>
    </row>
    <row r="75">
      <c r="A75" s="39">
        <v>44980.0</v>
      </c>
      <c r="B75" s="4" t="s">
        <v>209</v>
      </c>
      <c r="C75" s="21">
        <v>4.85</v>
      </c>
      <c r="E75" s="19"/>
      <c r="F75" s="5"/>
      <c r="H75" s="19"/>
    </row>
    <row r="76">
      <c r="A76" s="39">
        <v>44980.0</v>
      </c>
      <c r="B76" s="4" t="s">
        <v>140</v>
      </c>
      <c r="C76" s="21">
        <v>10.0</v>
      </c>
      <c r="E76" s="19"/>
      <c r="F76" s="5"/>
      <c r="H76" s="19"/>
    </row>
    <row r="77">
      <c r="A77" s="39">
        <v>44980.0</v>
      </c>
      <c r="B77" s="4" t="s">
        <v>62</v>
      </c>
      <c r="C77" s="21">
        <v>1.05</v>
      </c>
      <c r="E77" s="19"/>
      <c r="F77" s="5"/>
      <c r="H77" s="19"/>
    </row>
    <row r="78">
      <c r="A78" s="39">
        <v>44981.0</v>
      </c>
      <c r="B78" s="4" t="s">
        <v>291</v>
      </c>
      <c r="C78" s="21">
        <v>1.5</v>
      </c>
      <c r="E78" s="19"/>
      <c r="F78" s="5"/>
      <c r="H78" s="19"/>
    </row>
    <row r="79">
      <c r="A79" s="39">
        <v>44981.0</v>
      </c>
      <c r="B79" s="4" t="s">
        <v>45</v>
      </c>
      <c r="C79" s="21">
        <v>12.7</v>
      </c>
      <c r="E79" s="19"/>
      <c r="F79" s="5"/>
      <c r="H79" s="19"/>
    </row>
    <row r="80">
      <c r="A80" s="39">
        <v>44981.0</v>
      </c>
      <c r="B80" s="4" t="s">
        <v>45</v>
      </c>
      <c r="C80" s="21">
        <v>12.0</v>
      </c>
      <c r="E80" s="19"/>
      <c r="F80" s="5"/>
      <c r="H80" s="19"/>
    </row>
    <row r="81">
      <c r="A81" s="39">
        <v>44982.0</v>
      </c>
      <c r="B81" s="4" t="s">
        <v>422</v>
      </c>
      <c r="C81" s="21">
        <v>14.2</v>
      </c>
      <c r="E81" s="19"/>
      <c r="F81" s="5"/>
      <c r="H81" s="19"/>
    </row>
    <row r="82">
      <c r="A82" s="39">
        <v>44982.0</v>
      </c>
      <c r="B82" s="4" t="s">
        <v>511</v>
      </c>
      <c r="C82" s="21">
        <v>4.68</v>
      </c>
      <c r="E82" s="19"/>
      <c r="F82" s="5"/>
      <c r="H82" s="19"/>
    </row>
    <row r="83">
      <c r="A83" s="39">
        <v>44982.0</v>
      </c>
      <c r="B83" s="4" t="s">
        <v>52</v>
      </c>
      <c r="C83" s="21">
        <v>10.28</v>
      </c>
      <c r="E83" s="19"/>
      <c r="F83" s="5"/>
      <c r="H83" s="19"/>
    </row>
    <row r="84">
      <c r="A84" s="39">
        <v>44982.0</v>
      </c>
      <c r="B84" s="4" t="s">
        <v>127</v>
      </c>
      <c r="C84" s="21">
        <v>3.4</v>
      </c>
      <c r="E84" s="19"/>
      <c r="F84" s="5"/>
      <c r="H84" s="19"/>
    </row>
    <row r="85">
      <c r="A85" s="39">
        <v>44982.0</v>
      </c>
      <c r="B85" s="4" t="s">
        <v>512</v>
      </c>
      <c r="C85" s="21">
        <f>6.4+3.3</f>
        <v>9.7</v>
      </c>
      <c r="E85" s="19"/>
      <c r="F85" s="5"/>
      <c r="H85" s="19"/>
    </row>
    <row r="86">
      <c r="A86" s="39">
        <v>44983.0</v>
      </c>
      <c r="B86" s="4" t="s">
        <v>127</v>
      </c>
      <c r="C86" s="21">
        <v>9.0</v>
      </c>
      <c r="E86" s="19"/>
      <c r="F86" s="5"/>
      <c r="H86" s="19"/>
    </row>
    <row r="87">
      <c r="A87" s="39">
        <v>44983.0</v>
      </c>
      <c r="B87" s="4" t="s">
        <v>73</v>
      </c>
      <c r="C87" s="21">
        <v>13.18</v>
      </c>
      <c r="E87" s="19"/>
      <c r="F87" s="5"/>
      <c r="H87" s="19"/>
    </row>
    <row r="88">
      <c r="A88" s="39">
        <v>44983.0</v>
      </c>
      <c r="B88" s="4" t="s">
        <v>47</v>
      </c>
      <c r="C88" s="21">
        <v>16.49</v>
      </c>
      <c r="E88" s="19"/>
      <c r="F88" s="5"/>
      <c r="H88" s="19"/>
    </row>
    <row r="89">
      <c r="A89" s="39">
        <v>44984.0</v>
      </c>
      <c r="B89" s="4" t="s">
        <v>399</v>
      </c>
      <c r="C89" s="21">
        <v>18.23</v>
      </c>
      <c r="E89" s="19"/>
      <c r="F89" s="5"/>
      <c r="H89" s="19"/>
    </row>
    <row r="90">
      <c r="A90" s="39">
        <v>44984.0</v>
      </c>
      <c r="B90" s="4" t="s">
        <v>53</v>
      </c>
      <c r="C90" s="21">
        <v>20.19</v>
      </c>
      <c r="E90" s="19"/>
      <c r="F90" s="5"/>
      <c r="H90" s="19"/>
    </row>
    <row r="91">
      <c r="A91" s="39">
        <v>44985.0</v>
      </c>
      <c r="B91" s="4" t="s">
        <v>47</v>
      </c>
      <c r="C91" s="21">
        <v>2.2</v>
      </c>
      <c r="E91" s="19"/>
      <c r="F91" s="5"/>
      <c r="H91" s="19"/>
    </row>
    <row r="92">
      <c r="A92" s="39"/>
      <c r="C92" s="21"/>
      <c r="E92" s="19"/>
      <c r="F92" s="5"/>
      <c r="H92" s="19"/>
    </row>
    <row r="93">
      <c r="A93" s="39"/>
      <c r="C93" s="21"/>
      <c r="E93" s="19"/>
      <c r="F93" s="5"/>
      <c r="H93" s="19"/>
    </row>
    <row r="94">
      <c r="A94" s="39"/>
      <c r="C94" s="21"/>
      <c r="E94" s="19"/>
      <c r="F94" s="5"/>
      <c r="H94" s="19"/>
    </row>
    <row r="95">
      <c r="A95" s="39"/>
      <c r="C95" s="21"/>
      <c r="E95" s="19"/>
      <c r="F95" s="5"/>
      <c r="H95" s="19"/>
    </row>
    <row r="96">
      <c r="A96" s="39"/>
      <c r="C96" s="21"/>
      <c r="E96" s="19"/>
      <c r="F96" s="5"/>
      <c r="H96" s="19"/>
    </row>
    <row r="97">
      <c r="A97" s="39"/>
      <c r="C97" s="21"/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0">
    <cfRule type="cellIs" dxfId="3" priority="3" operator="greaterThan">
      <formula>0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96.7</v>
      </c>
      <c r="H1" s="1" t="s">
        <v>46</v>
      </c>
      <c r="I1" s="5">
        <f>I5-I6</f>
        <v>-197.21</v>
      </c>
      <c r="J1" s="19"/>
      <c r="K1" s="1" t="s">
        <v>47</v>
      </c>
      <c r="L1" s="5">
        <f t="shared" ref="L1:L4" si="1">SUMIF(B:B,K1,C:I)</f>
        <v>50.94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44927.0</v>
      </c>
      <c r="B2" s="4" t="s">
        <v>8</v>
      </c>
      <c r="C2" s="21">
        <v>250.0</v>
      </c>
      <c r="E2" s="1" t="s">
        <v>52</v>
      </c>
      <c r="F2" s="5">
        <f>SUMIF(B:B,"Deliveroo",C:C)+SUMIF(B:B,"Just eat",C:C)+SUMIF(B:B,"Uber eats",C:C)+SUMIF(B:B,E2,C:C)</f>
        <v>59.31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65.05</v>
      </c>
      <c r="N2" s="39">
        <v>44927.0</v>
      </c>
      <c r="O2" s="5">
        <f>sumif(A:A,N2,C:C)-C2</f>
        <v>34.43</v>
      </c>
      <c r="P2" s="5">
        <f>SUM(O2)</f>
        <v>34.43</v>
      </c>
    </row>
    <row r="3">
      <c r="A3" s="39">
        <v>44927.0</v>
      </c>
      <c r="B3" s="4" t="s">
        <v>513</v>
      </c>
      <c r="C3" s="12">
        <v>20.22</v>
      </c>
      <c r="E3" s="1" t="s">
        <v>209</v>
      </c>
      <c r="F3" s="5">
        <f>SUMIF(B:B,"Pret",C:C)+SUMIF(B:B,"Breakfast",C:C)</f>
        <v>9.98</v>
      </c>
      <c r="H3" s="1" t="s">
        <v>8</v>
      </c>
      <c r="I3" s="5">
        <f>SUMIF(B:B,H3,C:C)+I1</f>
        <v>52.79</v>
      </c>
      <c r="K3" s="1" t="s">
        <v>56</v>
      </c>
      <c r="L3" s="5">
        <f t="shared" si="1"/>
        <v>1.7</v>
      </c>
      <c r="N3" s="39">
        <v>44928.0</v>
      </c>
      <c r="O3" s="40">
        <f t="shared" ref="O3:O15" si="2">sumif(A:A,N3,C:C)</f>
        <v>52.66</v>
      </c>
      <c r="P3" s="5">
        <f t="shared" ref="P3:P32" si="3">P2+O3</f>
        <v>87.09</v>
      </c>
    </row>
    <row r="4">
      <c r="A4" s="39">
        <v>44927.0</v>
      </c>
      <c r="B4" s="4" t="s">
        <v>73</v>
      </c>
      <c r="C4" s="21">
        <v>12.51</v>
      </c>
      <c r="E4" s="1" t="s">
        <v>140</v>
      </c>
      <c r="F4" s="5">
        <f>SUMIF(B:B,E4,C:C)</f>
        <v>71.02</v>
      </c>
      <c r="K4" s="1" t="s">
        <v>59</v>
      </c>
      <c r="L4" s="5">
        <f t="shared" si="1"/>
        <v>97.8</v>
      </c>
      <c r="N4" s="39">
        <v>44929.0</v>
      </c>
      <c r="O4" s="40">
        <f t="shared" si="2"/>
        <v>19.62</v>
      </c>
      <c r="P4" s="5">
        <f t="shared" si="3"/>
        <v>106.71</v>
      </c>
    </row>
    <row r="5">
      <c r="A5" s="39">
        <v>44927.0</v>
      </c>
      <c r="B5" s="4" t="s">
        <v>127</v>
      </c>
      <c r="C5" s="21">
        <v>1.7</v>
      </c>
      <c r="E5" s="1" t="s">
        <v>57</v>
      </c>
      <c r="F5" s="5">
        <f>sum(L:L)</f>
        <v>215.49</v>
      </c>
      <c r="H5" s="1" t="s">
        <v>65</v>
      </c>
      <c r="I5" s="58">
        <v>2475.96</v>
      </c>
      <c r="N5" s="39">
        <v>44930.0</v>
      </c>
      <c r="O5" s="40">
        <f t="shared" si="2"/>
        <v>53.1</v>
      </c>
      <c r="P5" s="5">
        <f t="shared" si="3"/>
        <v>159.81</v>
      </c>
    </row>
    <row r="6">
      <c r="A6" s="39">
        <v>44928.0</v>
      </c>
      <c r="B6" s="4" t="s">
        <v>434</v>
      </c>
      <c r="C6" s="21">
        <f>13.65+16.99</f>
        <v>30.64</v>
      </c>
      <c r="E6" s="42" t="s">
        <v>61</v>
      </c>
      <c r="F6" s="5">
        <f>SUMIF(B:B,"Games",C:C)+SUMIF(B:B,"Spotify",C:C)+SUMIF(B:B,"Disney+",C:C)+SUMIF(B:B,"Book",C:C)+SUMIF(B:B,"Audible",C:C)</f>
        <v>38.45</v>
      </c>
      <c r="H6" s="1" t="s">
        <v>68</v>
      </c>
      <c r="I6" s="5">
        <f>sum(C:C)</f>
        <v>2673.17</v>
      </c>
      <c r="N6" s="39">
        <v>44931.0</v>
      </c>
      <c r="O6" s="40">
        <f t="shared" si="2"/>
        <v>22.28</v>
      </c>
      <c r="P6" s="5">
        <f t="shared" si="3"/>
        <v>182.09</v>
      </c>
    </row>
    <row r="7">
      <c r="A7" s="39">
        <v>44928.0</v>
      </c>
      <c r="B7" s="4" t="s">
        <v>53</v>
      </c>
      <c r="C7" s="21">
        <v>22.02</v>
      </c>
      <c r="E7" s="1" t="s">
        <v>64</v>
      </c>
      <c r="F7" s="5">
        <f>SUMIF(B:B,E7,C:C)+SUMIF(B:B,"Shoes",C:C)</f>
        <v>10.48</v>
      </c>
      <c r="H7" s="1" t="s">
        <v>72</v>
      </c>
      <c r="I7" s="5">
        <f>sum(F:F)+I2+I3</f>
        <v>2112.18</v>
      </c>
      <c r="N7" s="39">
        <v>44932.0</v>
      </c>
      <c r="O7" s="40">
        <f t="shared" si="2"/>
        <v>47.73</v>
      </c>
      <c r="P7" s="5">
        <f t="shared" si="3"/>
        <v>229.82</v>
      </c>
    </row>
    <row r="8">
      <c r="A8" s="39">
        <v>44929.0</v>
      </c>
      <c r="B8" s="4" t="s">
        <v>59</v>
      </c>
      <c r="C8" s="21">
        <v>19.62</v>
      </c>
      <c r="E8" s="1" t="s">
        <v>54</v>
      </c>
      <c r="F8" s="5">
        <f>SUMIF(B:B,E8,C:C)+SUMIF(B:B,"Gym",C:C)+SUMIF(B:B,"Phone",C:C)</f>
        <v>1219.99</v>
      </c>
      <c r="H8" s="1" t="s">
        <v>74</v>
      </c>
      <c r="I8" s="5">
        <f>I6-I7</f>
        <v>560.99</v>
      </c>
      <c r="N8" s="39">
        <v>44933.0</v>
      </c>
      <c r="O8" s="40">
        <f t="shared" si="2"/>
        <v>1.7</v>
      </c>
      <c r="P8" s="5">
        <f t="shared" si="3"/>
        <v>231.52</v>
      </c>
    </row>
    <row r="9">
      <c r="A9" s="39">
        <v>44930.0</v>
      </c>
      <c r="B9" s="4" t="s">
        <v>514</v>
      </c>
      <c r="C9" s="21">
        <f>53.1-16</f>
        <v>37.1</v>
      </c>
      <c r="E9" s="1" t="s">
        <v>127</v>
      </c>
      <c r="F9" s="5">
        <f>SUMIF(B:B,E9,C:C)</f>
        <v>61.5</v>
      </c>
      <c r="H9" s="1"/>
      <c r="N9" s="39">
        <v>44934.0</v>
      </c>
      <c r="O9" s="40">
        <f t="shared" si="2"/>
        <v>0</v>
      </c>
      <c r="P9" s="5">
        <f t="shared" si="3"/>
        <v>231.52</v>
      </c>
    </row>
    <row r="10">
      <c r="A10" s="39">
        <v>44930.0</v>
      </c>
      <c r="B10" s="4" t="s">
        <v>515</v>
      </c>
      <c r="C10" s="21">
        <v>16.0</v>
      </c>
      <c r="E10" s="1" t="s">
        <v>164</v>
      </c>
      <c r="F10" s="48">
        <f>SUMIF(B:B,"Cigs",C:C)</f>
        <v>0</v>
      </c>
      <c r="H10" s="53" t="s">
        <v>3</v>
      </c>
      <c r="I10" s="54">
        <f>(I3+I2)/I5</f>
        <v>0.1222919595</v>
      </c>
      <c r="N10" s="39">
        <v>44935.0</v>
      </c>
      <c r="O10" s="40">
        <f t="shared" si="2"/>
        <v>29</v>
      </c>
      <c r="P10" s="5">
        <f t="shared" si="3"/>
        <v>260.52</v>
      </c>
    </row>
    <row r="11">
      <c r="A11" s="39">
        <v>44931.0</v>
      </c>
      <c r="B11" s="4" t="s">
        <v>516</v>
      </c>
      <c r="C11" s="21">
        <v>13.0</v>
      </c>
      <c r="E11" s="1" t="s">
        <v>73</v>
      </c>
      <c r="F11" s="5">
        <f>SUMIF(B:B,"Uber",C:C)</f>
        <v>26.47</v>
      </c>
      <c r="N11" s="39">
        <v>44936.0</v>
      </c>
      <c r="O11" s="40">
        <f t="shared" si="2"/>
        <v>12.89</v>
      </c>
      <c r="P11" s="5">
        <f t="shared" si="3"/>
        <v>273.41</v>
      </c>
    </row>
    <row r="12">
      <c r="A12" s="39">
        <v>44931.0</v>
      </c>
      <c r="B12" s="4" t="s">
        <v>517</v>
      </c>
      <c r="C12" s="21">
        <v>9.28</v>
      </c>
      <c r="N12" s="39">
        <v>44937.0</v>
      </c>
      <c r="O12" s="40">
        <f t="shared" si="2"/>
        <v>47.43</v>
      </c>
      <c r="P12" s="5">
        <f t="shared" si="3"/>
        <v>320.84</v>
      </c>
    </row>
    <row r="13">
      <c r="A13" s="39">
        <v>44932.0</v>
      </c>
      <c r="B13" s="4" t="s">
        <v>518</v>
      </c>
      <c r="C13" s="21">
        <v>41.0</v>
      </c>
      <c r="N13" s="39">
        <v>44938.0</v>
      </c>
      <c r="O13" s="40">
        <f t="shared" si="2"/>
        <v>18.45</v>
      </c>
      <c r="P13" s="5">
        <f t="shared" si="3"/>
        <v>339.29</v>
      </c>
    </row>
    <row r="14">
      <c r="A14" s="39">
        <v>44932.0</v>
      </c>
      <c r="B14" s="4" t="s">
        <v>59</v>
      </c>
      <c r="C14" s="21">
        <v>6.73</v>
      </c>
      <c r="H14" s="19"/>
      <c r="N14" s="39">
        <v>44939.0</v>
      </c>
      <c r="O14" s="40">
        <f t="shared" si="2"/>
        <v>35.09</v>
      </c>
      <c r="P14" s="5">
        <f t="shared" si="3"/>
        <v>374.38</v>
      </c>
    </row>
    <row r="15">
      <c r="A15" s="39">
        <v>44933.0</v>
      </c>
      <c r="B15" s="4" t="s">
        <v>127</v>
      </c>
      <c r="C15" s="21">
        <v>1.7</v>
      </c>
      <c r="H15" s="19"/>
      <c r="N15" s="39">
        <v>44940.0</v>
      </c>
      <c r="O15" s="40">
        <f t="shared" si="2"/>
        <v>36</v>
      </c>
      <c r="P15" s="5">
        <f t="shared" si="3"/>
        <v>410.38</v>
      </c>
    </row>
    <row r="16">
      <c r="A16" s="39">
        <v>44935.0</v>
      </c>
      <c r="B16" s="4" t="s">
        <v>127</v>
      </c>
      <c r="C16" s="21">
        <v>1.7</v>
      </c>
      <c r="H16" s="19"/>
      <c r="N16" s="39">
        <v>44941.0</v>
      </c>
      <c r="O16" s="40">
        <f>sumif(A:A,N16,C:C)-1055</f>
        <v>32.06</v>
      </c>
      <c r="P16" s="5">
        <f t="shared" si="3"/>
        <v>442.44</v>
      </c>
    </row>
    <row r="17">
      <c r="A17" s="39">
        <v>44935.0</v>
      </c>
      <c r="B17" s="4" t="s">
        <v>59</v>
      </c>
      <c r="C17" s="21">
        <v>27.3</v>
      </c>
      <c r="H17" s="19"/>
      <c r="N17" s="39">
        <v>44942.0</v>
      </c>
      <c r="O17" s="40">
        <f t="shared" ref="O17:O22" si="4">sumif(A:A,N17,C:C)</f>
        <v>3.99</v>
      </c>
      <c r="P17" s="5">
        <f t="shared" si="3"/>
        <v>446.43</v>
      </c>
    </row>
    <row r="18">
      <c r="A18" s="39">
        <v>44936.0</v>
      </c>
      <c r="B18" s="4" t="s">
        <v>497</v>
      </c>
      <c r="C18" s="21">
        <v>3.99</v>
      </c>
      <c r="H18" s="19"/>
      <c r="N18" s="39">
        <v>44943.0</v>
      </c>
      <c r="O18" s="40">
        <f t="shared" si="4"/>
        <v>109.97</v>
      </c>
      <c r="P18" s="5">
        <f t="shared" si="3"/>
        <v>556.4</v>
      </c>
    </row>
    <row r="19">
      <c r="A19" s="39">
        <v>44936.0</v>
      </c>
      <c r="B19" s="4" t="s">
        <v>47</v>
      </c>
      <c r="C19" s="21">
        <v>8.9</v>
      </c>
      <c r="H19" s="19"/>
      <c r="N19" s="39">
        <v>44944.0</v>
      </c>
      <c r="O19" s="40">
        <f t="shared" si="4"/>
        <v>17.64</v>
      </c>
      <c r="P19" s="5">
        <f t="shared" si="3"/>
        <v>574.04</v>
      </c>
    </row>
    <row r="20">
      <c r="A20" s="39">
        <v>44937.0</v>
      </c>
      <c r="B20" s="4" t="s">
        <v>54</v>
      </c>
      <c r="C20" s="21">
        <v>30.0</v>
      </c>
      <c r="H20" s="19"/>
      <c r="N20" s="39">
        <v>44945.0</v>
      </c>
      <c r="O20" s="40">
        <f t="shared" si="4"/>
        <v>17.55</v>
      </c>
      <c r="P20" s="5">
        <f t="shared" si="3"/>
        <v>591.59</v>
      </c>
    </row>
    <row r="21">
      <c r="A21" s="39">
        <v>44937.0</v>
      </c>
      <c r="B21" s="4" t="s">
        <v>192</v>
      </c>
      <c r="C21" s="21">
        <v>3.49</v>
      </c>
      <c r="E21" s="19"/>
      <c r="F21" s="5"/>
      <c r="H21" s="19"/>
      <c r="N21" s="39">
        <v>44946.0</v>
      </c>
      <c r="O21" s="40">
        <f t="shared" si="4"/>
        <v>26.24</v>
      </c>
      <c r="P21" s="5">
        <f t="shared" si="3"/>
        <v>617.83</v>
      </c>
    </row>
    <row r="22">
      <c r="A22" s="39">
        <v>44937.0</v>
      </c>
      <c r="B22" s="4" t="s">
        <v>209</v>
      </c>
      <c r="C22" s="21">
        <v>3.99</v>
      </c>
      <c r="E22" s="19"/>
      <c r="F22" s="5"/>
      <c r="H22" s="19"/>
      <c r="N22" s="39">
        <v>44947.0</v>
      </c>
      <c r="O22" s="40">
        <f t="shared" si="4"/>
        <v>32.95</v>
      </c>
      <c r="P22" s="5">
        <f t="shared" si="3"/>
        <v>650.78</v>
      </c>
    </row>
    <row r="23">
      <c r="A23" s="39">
        <v>44937.0</v>
      </c>
      <c r="B23" s="4" t="s">
        <v>140</v>
      </c>
      <c r="C23" s="21">
        <v>9.95</v>
      </c>
      <c r="E23" s="19"/>
      <c r="F23" s="5"/>
      <c r="H23" s="19"/>
      <c r="N23" s="39">
        <v>44948.0</v>
      </c>
      <c r="O23" s="40">
        <f>sumif(A:A,N23,C:C)-250</f>
        <v>127.5</v>
      </c>
      <c r="P23" s="5">
        <f t="shared" si="3"/>
        <v>778.28</v>
      </c>
    </row>
    <row r="24">
      <c r="A24" s="39">
        <v>44938.0</v>
      </c>
      <c r="B24" s="4" t="s">
        <v>127</v>
      </c>
      <c r="C24" s="21">
        <v>6.4</v>
      </c>
      <c r="E24" s="19"/>
      <c r="F24" s="5"/>
      <c r="H24" s="19"/>
      <c r="N24" s="39">
        <v>44949.0</v>
      </c>
      <c r="O24" s="40">
        <f t="shared" ref="O24:O32" si="5">sumif(A:A,N24,C:C)</f>
        <v>13.75</v>
      </c>
      <c r="P24" s="5">
        <f t="shared" si="3"/>
        <v>792.03</v>
      </c>
    </row>
    <row r="25">
      <c r="A25" s="39">
        <v>44938.0</v>
      </c>
      <c r="B25" s="4" t="s">
        <v>209</v>
      </c>
      <c r="C25" s="21">
        <v>2.0</v>
      </c>
      <c r="E25" s="19"/>
      <c r="F25" s="5"/>
      <c r="H25" s="19"/>
      <c r="N25" s="39">
        <v>44950.0</v>
      </c>
      <c r="O25" s="40">
        <f t="shared" si="5"/>
        <v>17.05</v>
      </c>
      <c r="P25" s="5">
        <f t="shared" si="3"/>
        <v>809.08</v>
      </c>
    </row>
    <row r="26">
      <c r="A26" s="39">
        <v>44938.0</v>
      </c>
      <c r="B26" s="4" t="s">
        <v>140</v>
      </c>
      <c r="C26" s="21">
        <v>3.65</v>
      </c>
      <c r="E26" s="19"/>
      <c r="F26" s="5"/>
      <c r="H26" s="19"/>
      <c r="N26" s="39">
        <v>44951.0</v>
      </c>
      <c r="O26" s="40">
        <f t="shared" si="5"/>
        <v>5.6</v>
      </c>
      <c r="P26" s="5">
        <f t="shared" si="3"/>
        <v>814.68</v>
      </c>
    </row>
    <row r="27">
      <c r="A27" s="39">
        <v>44938.0</v>
      </c>
      <c r="B27" s="4" t="s">
        <v>127</v>
      </c>
      <c r="C27" s="21">
        <v>6.4</v>
      </c>
      <c r="E27" s="19"/>
      <c r="F27" s="5"/>
      <c r="H27" s="19"/>
      <c r="N27" s="39">
        <v>44952.0</v>
      </c>
      <c r="O27" s="40">
        <f t="shared" si="5"/>
        <v>80.31</v>
      </c>
      <c r="P27" s="5">
        <f t="shared" si="3"/>
        <v>894.99</v>
      </c>
    </row>
    <row r="28">
      <c r="A28" s="39">
        <v>44939.0</v>
      </c>
      <c r="B28" s="4" t="s">
        <v>59</v>
      </c>
      <c r="C28" s="21">
        <v>27.1</v>
      </c>
      <c r="E28" s="19"/>
      <c r="F28" s="5"/>
      <c r="H28" s="19"/>
      <c r="N28" s="39">
        <v>44953.0</v>
      </c>
      <c r="O28" s="40">
        <f t="shared" si="5"/>
        <v>29.33</v>
      </c>
      <c r="P28" s="5">
        <f t="shared" si="3"/>
        <v>924.32</v>
      </c>
    </row>
    <row r="29">
      <c r="A29" s="39">
        <v>44939.0</v>
      </c>
      <c r="B29" s="4" t="s">
        <v>519</v>
      </c>
      <c r="C29" s="21">
        <v>7.99</v>
      </c>
      <c r="E29" s="19"/>
      <c r="F29" s="5"/>
      <c r="H29" s="19"/>
      <c r="N29" s="39">
        <v>44954.0</v>
      </c>
      <c r="O29" s="40">
        <f t="shared" si="5"/>
        <v>84.39</v>
      </c>
      <c r="P29" s="5">
        <f t="shared" si="3"/>
        <v>1008.71</v>
      </c>
    </row>
    <row r="30">
      <c r="A30" s="39">
        <v>44940.0</v>
      </c>
      <c r="B30" s="4" t="s">
        <v>45</v>
      </c>
      <c r="C30" s="21">
        <v>12.0</v>
      </c>
      <c r="E30" s="19"/>
      <c r="F30" s="5"/>
      <c r="H30" s="19"/>
      <c r="N30" s="39">
        <v>44955.0</v>
      </c>
      <c r="O30" s="40">
        <f t="shared" si="5"/>
        <v>40.76</v>
      </c>
      <c r="P30" s="5">
        <f t="shared" si="3"/>
        <v>1049.47</v>
      </c>
    </row>
    <row r="31">
      <c r="A31" s="39">
        <v>44940.0</v>
      </c>
      <c r="B31" s="4" t="s">
        <v>45</v>
      </c>
      <c r="C31" s="21">
        <v>24.0</v>
      </c>
      <c r="E31" s="19"/>
      <c r="F31" s="5"/>
      <c r="H31" s="19"/>
      <c r="N31" s="39">
        <v>44956.0</v>
      </c>
      <c r="O31" s="40">
        <f t="shared" si="5"/>
        <v>14.3</v>
      </c>
      <c r="P31" s="5">
        <f t="shared" si="3"/>
        <v>1063.77</v>
      </c>
    </row>
    <row r="32">
      <c r="A32" s="39">
        <v>44941.0</v>
      </c>
      <c r="B32" s="4" t="s">
        <v>54</v>
      </c>
      <c r="C32" s="41">
        <v>1055.0</v>
      </c>
      <c r="E32" s="19"/>
      <c r="F32" s="5"/>
      <c r="H32" s="19"/>
      <c r="N32" s="39">
        <v>44957.0</v>
      </c>
      <c r="O32" s="40">
        <f t="shared" si="5"/>
        <v>54.4</v>
      </c>
      <c r="P32" s="5">
        <f t="shared" si="3"/>
        <v>1118.17</v>
      </c>
    </row>
    <row r="33">
      <c r="A33" s="39">
        <v>44941.0</v>
      </c>
      <c r="B33" s="4" t="s">
        <v>127</v>
      </c>
      <c r="C33" s="21">
        <v>2.6</v>
      </c>
      <c r="E33" s="19"/>
      <c r="F33" s="5"/>
      <c r="H33" s="19"/>
      <c r="N33" s="39"/>
    </row>
    <row r="34">
      <c r="A34" s="39">
        <v>44941.0</v>
      </c>
      <c r="B34" s="4" t="s">
        <v>517</v>
      </c>
      <c r="C34" s="21">
        <v>19.47</v>
      </c>
      <c r="E34" s="19"/>
      <c r="F34" s="5"/>
      <c r="H34" s="19"/>
    </row>
    <row r="35">
      <c r="A35" s="39">
        <v>44941.0</v>
      </c>
      <c r="B35" s="4" t="s">
        <v>254</v>
      </c>
      <c r="C35" s="21">
        <v>9.99</v>
      </c>
      <c r="E35" s="19"/>
      <c r="F35" s="5"/>
      <c r="H35" s="19"/>
    </row>
    <row r="36">
      <c r="A36" s="39">
        <v>44942.0</v>
      </c>
      <c r="B36" s="4" t="s">
        <v>230</v>
      </c>
      <c r="C36" s="21">
        <v>3.99</v>
      </c>
      <c r="E36" s="19"/>
      <c r="F36" s="5"/>
      <c r="H36" s="19"/>
    </row>
    <row r="37">
      <c r="A37" s="39">
        <v>44943.0</v>
      </c>
      <c r="B37" s="4" t="s">
        <v>517</v>
      </c>
      <c r="C37" s="21">
        <v>10.97</v>
      </c>
      <c r="E37" s="19"/>
      <c r="F37" s="5"/>
      <c r="H37" s="19"/>
    </row>
    <row r="38">
      <c r="A38" s="39">
        <v>44943.0</v>
      </c>
      <c r="B38" s="4" t="s">
        <v>520</v>
      </c>
      <c r="C38" s="21">
        <v>99.0</v>
      </c>
      <c r="E38" s="19"/>
      <c r="F38" s="5"/>
      <c r="H38" s="19"/>
    </row>
    <row r="39">
      <c r="A39" s="39">
        <v>44944.0</v>
      </c>
      <c r="B39" s="4" t="s">
        <v>53</v>
      </c>
      <c r="C39" s="21">
        <v>14.14</v>
      </c>
      <c r="E39" s="19"/>
      <c r="F39" s="5"/>
      <c r="H39" s="19"/>
    </row>
    <row r="40">
      <c r="A40" s="39">
        <v>44944.0</v>
      </c>
      <c r="B40" s="4" t="s">
        <v>47</v>
      </c>
      <c r="C40" s="21">
        <v>3.5</v>
      </c>
      <c r="E40" s="19"/>
      <c r="F40" s="5"/>
      <c r="H40" s="19"/>
    </row>
    <row r="41">
      <c r="A41" s="39">
        <v>44945.0</v>
      </c>
      <c r="B41" s="4" t="s">
        <v>127</v>
      </c>
      <c r="C41" s="21">
        <v>3.4</v>
      </c>
      <c r="E41" s="19"/>
      <c r="F41" s="5"/>
      <c r="H41" s="19"/>
    </row>
    <row r="42">
      <c r="A42" s="39">
        <v>44945.0</v>
      </c>
      <c r="B42" s="4" t="s">
        <v>140</v>
      </c>
      <c r="C42" s="21">
        <v>12.45</v>
      </c>
      <c r="E42" s="19"/>
      <c r="F42" s="5"/>
      <c r="H42" s="19"/>
    </row>
    <row r="43">
      <c r="A43" s="39">
        <v>44945.0</v>
      </c>
      <c r="B43" s="4" t="s">
        <v>56</v>
      </c>
      <c r="C43" s="21">
        <v>1.7</v>
      </c>
      <c r="E43" s="19"/>
      <c r="F43" s="5"/>
      <c r="H43" s="19"/>
    </row>
    <row r="44">
      <c r="A44" s="39">
        <v>44946.0</v>
      </c>
      <c r="B44" s="4" t="s">
        <v>127</v>
      </c>
      <c r="C44" s="21">
        <v>6.4</v>
      </c>
      <c r="E44" s="19"/>
      <c r="F44" s="5"/>
      <c r="H44" s="19"/>
    </row>
    <row r="45">
      <c r="A45" s="39">
        <v>44946.0</v>
      </c>
      <c r="B45" s="4" t="s">
        <v>53</v>
      </c>
      <c r="C45" s="21">
        <v>19.84</v>
      </c>
      <c r="E45" s="19"/>
      <c r="F45" s="5"/>
      <c r="H45" s="19"/>
    </row>
    <row r="46">
      <c r="A46" s="39">
        <v>44947.0</v>
      </c>
      <c r="B46" s="4" t="s">
        <v>272</v>
      </c>
      <c r="C46" s="21">
        <v>10.0</v>
      </c>
      <c r="E46" s="19"/>
      <c r="F46" s="5"/>
      <c r="H46" s="19"/>
    </row>
    <row r="47">
      <c r="A47" s="39">
        <v>44947.0</v>
      </c>
      <c r="B47" s="4" t="s">
        <v>53</v>
      </c>
      <c r="C47" s="21">
        <v>9.05</v>
      </c>
      <c r="E47" s="19"/>
      <c r="F47" s="5"/>
      <c r="H47" s="19"/>
    </row>
    <row r="48">
      <c r="A48" s="39">
        <v>44947.0</v>
      </c>
      <c r="B48" s="4" t="s">
        <v>331</v>
      </c>
      <c r="C48" s="21">
        <v>13.9</v>
      </c>
      <c r="E48" s="19"/>
      <c r="F48" s="5"/>
      <c r="H48" s="19"/>
    </row>
    <row r="49">
      <c r="A49" s="39">
        <v>44948.0</v>
      </c>
      <c r="B49" s="4" t="s">
        <v>480</v>
      </c>
      <c r="C49" s="21">
        <v>250.0</v>
      </c>
      <c r="E49" s="19"/>
      <c r="F49" s="5"/>
      <c r="H49" s="19"/>
    </row>
    <row r="50">
      <c r="A50" s="39">
        <v>44948.0</v>
      </c>
      <c r="B50" s="4" t="s">
        <v>252</v>
      </c>
      <c r="C50" s="21">
        <v>35.99</v>
      </c>
      <c r="E50" s="19"/>
      <c r="F50" s="5"/>
      <c r="H50" s="19"/>
    </row>
    <row r="51">
      <c r="A51" s="39">
        <v>44948.0</v>
      </c>
      <c r="B51" s="4" t="s">
        <v>253</v>
      </c>
      <c r="C51" s="21">
        <v>49.0</v>
      </c>
      <c r="E51" s="19"/>
      <c r="F51" s="5"/>
      <c r="H51" s="19"/>
    </row>
    <row r="52">
      <c r="A52" s="39">
        <v>44948.0</v>
      </c>
      <c r="B52" s="4" t="s">
        <v>140</v>
      </c>
      <c r="C52" s="21">
        <v>28.32</v>
      </c>
      <c r="E52" s="19"/>
      <c r="F52" s="5"/>
      <c r="H52" s="19"/>
    </row>
    <row r="53">
      <c r="A53" s="39">
        <v>44948.0</v>
      </c>
      <c r="B53" s="4" t="s">
        <v>127</v>
      </c>
      <c r="C53" s="21">
        <v>5.2</v>
      </c>
      <c r="E53" s="19"/>
      <c r="F53" s="5"/>
      <c r="H53" s="19"/>
    </row>
    <row r="54">
      <c r="A54" s="39">
        <v>44948.0</v>
      </c>
      <c r="B54" s="4" t="s">
        <v>399</v>
      </c>
      <c r="C54" s="21">
        <v>8.99</v>
      </c>
      <c r="E54" s="19"/>
      <c r="F54" s="5"/>
      <c r="H54" s="19"/>
    </row>
    <row r="55">
      <c r="A55" s="39">
        <v>44949.0</v>
      </c>
      <c r="B55" s="4" t="s">
        <v>127</v>
      </c>
      <c r="C55" s="21">
        <v>5.4</v>
      </c>
      <c r="E55" s="19"/>
      <c r="F55" s="5"/>
      <c r="H55" s="19"/>
    </row>
    <row r="56">
      <c r="A56" s="39">
        <v>44949.0</v>
      </c>
      <c r="B56" s="4" t="s">
        <v>47</v>
      </c>
      <c r="C56" s="21">
        <v>8.35</v>
      </c>
      <c r="E56" s="19"/>
      <c r="F56" s="5"/>
      <c r="H56" s="19"/>
    </row>
    <row r="57">
      <c r="A57" s="39">
        <v>44950.0</v>
      </c>
      <c r="B57" s="4" t="s">
        <v>59</v>
      </c>
      <c r="C57" s="43">
        <v>17.05</v>
      </c>
      <c r="E57" s="19"/>
      <c r="F57" s="5"/>
      <c r="H57" s="19"/>
    </row>
    <row r="58">
      <c r="A58" s="39">
        <v>44951.0</v>
      </c>
      <c r="B58" s="4" t="s">
        <v>47</v>
      </c>
      <c r="C58" s="21">
        <v>5.6</v>
      </c>
      <c r="E58" s="19"/>
      <c r="F58" s="5"/>
      <c r="H58" s="19"/>
    </row>
    <row r="59">
      <c r="A59" s="39">
        <v>44952.0</v>
      </c>
      <c r="B59" s="4" t="s">
        <v>127</v>
      </c>
      <c r="C59" s="21">
        <v>5.2</v>
      </c>
      <c r="E59" s="19"/>
      <c r="F59" s="5"/>
      <c r="H59" s="19"/>
    </row>
    <row r="60">
      <c r="A60" s="39">
        <v>44952.0</v>
      </c>
      <c r="B60" s="4" t="s">
        <v>209</v>
      </c>
      <c r="C60" s="43">
        <v>3.99</v>
      </c>
      <c r="E60" s="19"/>
      <c r="F60" s="5"/>
      <c r="H60" s="19"/>
    </row>
    <row r="61">
      <c r="A61" s="39">
        <v>44952.0</v>
      </c>
      <c r="B61" s="4" t="s">
        <v>140</v>
      </c>
      <c r="C61" s="21">
        <v>12.25</v>
      </c>
      <c r="E61" s="19"/>
      <c r="F61" s="5"/>
      <c r="H61" s="19"/>
    </row>
    <row r="62">
      <c r="A62" s="39">
        <v>44952.0</v>
      </c>
      <c r="B62" s="4" t="s">
        <v>210</v>
      </c>
      <c r="C62" s="21">
        <v>48.39</v>
      </c>
      <c r="E62" s="19"/>
      <c r="F62" s="5"/>
      <c r="H62" s="19"/>
    </row>
    <row r="63">
      <c r="A63" s="39">
        <v>44952.0</v>
      </c>
      <c r="B63" s="4" t="s">
        <v>64</v>
      </c>
      <c r="C63" s="21">
        <v>10.48</v>
      </c>
      <c r="E63" s="19"/>
      <c r="F63" s="5"/>
      <c r="H63" s="19"/>
    </row>
    <row r="64">
      <c r="A64" s="39">
        <v>44953.0</v>
      </c>
      <c r="B64" s="4" t="s">
        <v>127</v>
      </c>
      <c r="C64" s="21">
        <v>7.7</v>
      </c>
      <c r="E64" s="19"/>
      <c r="F64" s="5"/>
      <c r="H64" s="19"/>
    </row>
    <row r="65">
      <c r="A65" s="39">
        <v>44953.0</v>
      </c>
      <c r="B65" s="4" t="s">
        <v>47</v>
      </c>
      <c r="C65" s="21">
        <v>9.14</v>
      </c>
      <c r="E65" s="19"/>
      <c r="F65" s="5"/>
      <c r="H65" s="19"/>
    </row>
    <row r="66">
      <c r="A66" s="39">
        <v>44953.0</v>
      </c>
      <c r="B66" s="4" t="s">
        <v>230</v>
      </c>
      <c r="C66" s="21">
        <v>12.49</v>
      </c>
      <c r="E66" s="19"/>
      <c r="F66" s="5"/>
      <c r="H66" s="19"/>
    </row>
    <row r="67">
      <c r="A67" s="39">
        <v>44954.0</v>
      </c>
      <c r="B67" s="4" t="s">
        <v>52</v>
      </c>
      <c r="C67" s="21">
        <v>6.59</v>
      </c>
      <c r="E67" s="19"/>
      <c r="F67" s="5"/>
      <c r="H67" s="19"/>
    </row>
    <row r="68">
      <c r="A68" s="39">
        <v>44954.0</v>
      </c>
      <c r="B68" s="4" t="s">
        <v>47</v>
      </c>
      <c r="C68" s="21">
        <v>1.15</v>
      </c>
      <c r="E68" s="19"/>
      <c r="F68" s="5"/>
      <c r="H68" s="19"/>
    </row>
    <row r="69">
      <c r="A69" s="39">
        <v>44954.0</v>
      </c>
      <c r="B69" s="4" t="s">
        <v>210</v>
      </c>
      <c r="C69" s="21">
        <v>22.05</v>
      </c>
      <c r="E69" s="19"/>
      <c r="F69" s="5"/>
      <c r="H69" s="19"/>
    </row>
    <row r="70">
      <c r="A70" s="39">
        <v>44954.0</v>
      </c>
      <c r="B70" s="4" t="s">
        <v>45</v>
      </c>
      <c r="C70" s="21">
        <v>19.2</v>
      </c>
      <c r="E70" s="19"/>
      <c r="F70" s="5"/>
      <c r="H70" s="19"/>
    </row>
    <row r="71">
      <c r="A71" s="39">
        <v>44954.0</v>
      </c>
      <c r="B71" s="4" t="s">
        <v>45</v>
      </c>
      <c r="C71" s="21">
        <v>12.4</v>
      </c>
      <c r="E71" s="19"/>
      <c r="F71" s="5"/>
      <c r="H71" s="19"/>
    </row>
    <row r="72">
      <c r="A72" s="39">
        <v>44954.0</v>
      </c>
      <c r="B72" s="4" t="s">
        <v>45</v>
      </c>
      <c r="C72" s="21">
        <v>23.0</v>
      </c>
      <c r="E72" s="19"/>
      <c r="F72" s="5"/>
      <c r="H72" s="19"/>
    </row>
    <row r="73">
      <c r="A73" s="39">
        <v>44955.0</v>
      </c>
      <c r="B73" s="4" t="s">
        <v>127</v>
      </c>
      <c r="C73" s="21">
        <v>7.7</v>
      </c>
      <c r="E73" s="19"/>
      <c r="F73" s="5"/>
      <c r="H73" s="19"/>
    </row>
    <row r="74">
      <c r="A74" s="39">
        <v>44955.0</v>
      </c>
      <c r="B74" s="4" t="s">
        <v>73</v>
      </c>
      <c r="C74" s="21">
        <v>13.96</v>
      </c>
      <c r="E74" s="19"/>
      <c r="F74" s="5"/>
      <c r="H74" s="19"/>
    </row>
    <row r="75">
      <c r="A75" s="39">
        <v>44955.0</v>
      </c>
      <c r="B75" s="4" t="s">
        <v>52</v>
      </c>
      <c r="C75" s="21">
        <v>13.0</v>
      </c>
      <c r="E75" s="19"/>
      <c r="F75" s="5"/>
      <c r="H75" s="19"/>
    </row>
    <row r="76">
      <c r="A76" s="39">
        <v>44955.0</v>
      </c>
      <c r="B76" s="4" t="s">
        <v>45</v>
      </c>
      <c r="C76" s="21">
        <v>6.1</v>
      </c>
      <c r="E76" s="19"/>
      <c r="F76" s="5"/>
      <c r="H76" s="19"/>
    </row>
    <row r="77">
      <c r="A77" s="39">
        <v>44956.0</v>
      </c>
      <c r="B77" s="4" t="s">
        <v>47</v>
      </c>
      <c r="C77" s="21">
        <v>14.3</v>
      </c>
      <c r="E77" s="19"/>
      <c r="F77" s="5"/>
      <c r="H77" s="19"/>
    </row>
    <row r="78">
      <c r="A78" s="39">
        <v>44957.0</v>
      </c>
      <c r="B78" s="4" t="s">
        <v>54</v>
      </c>
      <c r="C78" s="21">
        <v>50.0</v>
      </c>
      <c r="E78" s="19"/>
      <c r="F78" s="5"/>
      <c r="H78" s="19"/>
    </row>
    <row r="79">
      <c r="A79" s="39">
        <v>44957.0</v>
      </c>
      <c r="B79" s="4" t="s">
        <v>140</v>
      </c>
      <c r="C79" s="21">
        <v>4.4</v>
      </c>
      <c r="E79" s="19"/>
      <c r="F79" s="5"/>
      <c r="H79" s="19"/>
    </row>
    <row r="80">
      <c r="A80" s="39"/>
      <c r="C80" s="21"/>
      <c r="E80" s="19"/>
      <c r="F80" s="5"/>
      <c r="H80" s="19"/>
    </row>
    <row r="81">
      <c r="A81" s="39"/>
      <c r="C81" s="21"/>
      <c r="E81" s="19"/>
      <c r="F81" s="5"/>
      <c r="H81" s="19"/>
    </row>
    <row r="82">
      <c r="A82" s="39"/>
      <c r="C82" s="21"/>
      <c r="E82" s="19"/>
      <c r="F82" s="5"/>
      <c r="H82" s="19"/>
    </row>
    <row r="83">
      <c r="A83" s="39"/>
      <c r="C83" s="21"/>
      <c r="E83" s="19"/>
      <c r="F83" s="5"/>
      <c r="H83" s="19"/>
    </row>
    <row r="84">
      <c r="A84" s="39"/>
      <c r="C84" s="21"/>
      <c r="E84" s="19"/>
      <c r="F84" s="5"/>
      <c r="H84" s="19"/>
    </row>
    <row r="85">
      <c r="A85" s="39"/>
      <c r="C85" s="21"/>
      <c r="E85" s="19"/>
      <c r="F85" s="5"/>
      <c r="H85" s="19"/>
    </row>
    <row r="86">
      <c r="A86" s="39"/>
      <c r="C86" s="21"/>
      <c r="E86" s="19"/>
      <c r="F86" s="5"/>
      <c r="H86" s="19"/>
    </row>
    <row r="87">
      <c r="A87" s="39"/>
      <c r="C87" s="21"/>
      <c r="E87" s="19"/>
      <c r="F87" s="5"/>
      <c r="H87" s="19"/>
    </row>
    <row r="88">
      <c r="A88" s="39"/>
      <c r="C88" s="21"/>
      <c r="E88" s="19"/>
      <c r="F88" s="5"/>
      <c r="H88" s="19"/>
    </row>
    <row r="89">
      <c r="A89" s="39"/>
      <c r="C89" s="21"/>
      <c r="E89" s="19"/>
      <c r="F89" s="5"/>
      <c r="H89" s="19"/>
    </row>
    <row r="90">
      <c r="A90" s="39"/>
      <c r="C90" s="21"/>
      <c r="E90" s="19"/>
      <c r="F90" s="5"/>
      <c r="H90" s="19"/>
    </row>
    <row r="91">
      <c r="A91" s="39"/>
      <c r="C91" s="21"/>
      <c r="E91" s="19"/>
      <c r="F91" s="5"/>
      <c r="H91" s="19"/>
    </row>
    <row r="92">
      <c r="A92" s="39"/>
      <c r="C92" s="21"/>
      <c r="E92" s="19"/>
      <c r="F92" s="5"/>
      <c r="H92" s="19"/>
    </row>
    <row r="93">
      <c r="A93" s="39"/>
      <c r="C93" s="21"/>
      <c r="E93" s="19"/>
      <c r="F93" s="5"/>
      <c r="H93" s="19"/>
    </row>
    <row r="94">
      <c r="A94" s="39"/>
      <c r="C94" s="21"/>
      <c r="E94" s="19"/>
      <c r="F94" s="5"/>
      <c r="H94" s="19"/>
    </row>
    <row r="95">
      <c r="A95" s="39"/>
      <c r="C95" s="21"/>
      <c r="E95" s="19"/>
      <c r="F95" s="5"/>
      <c r="H95" s="19"/>
    </row>
    <row r="96">
      <c r="A96" s="39"/>
      <c r="C96" s="21"/>
      <c r="E96" s="19"/>
      <c r="F96" s="5"/>
      <c r="H96" s="19"/>
    </row>
    <row r="97">
      <c r="A97" s="39"/>
      <c r="C97" s="21"/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0">
    <cfRule type="cellIs" dxfId="3" priority="3" operator="greaterThan">
      <formula>0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</cols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269.41</v>
      </c>
      <c r="H1" s="1" t="s">
        <v>46</v>
      </c>
      <c r="I1" s="5">
        <f>I5-I6</f>
        <v>67.77</v>
      </c>
      <c r="J1" s="19"/>
      <c r="K1" s="1" t="s">
        <v>47</v>
      </c>
      <c r="L1" s="5">
        <f t="shared" ref="L1:L5" si="1">SUMIF(B:B,K1,C:I)</f>
        <v>74.98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44896.0</v>
      </c>
      <c r="B2" s="4" t="s">
        <v>8</v>
      </c>
      <c r="C2" s="21">
        <v>900.0</v>
      </c>
      <c r="E2" s="1" t="s">
        <v>52</v>
      </c>
      <c r="F2" s="5">
        <f>SUMIF(B:B,"Deliveroo",C:C)+SUMIF(B:B,"Just eat",C:C)+SUMIF(B:B,"Uber eats",C:C)+SUMIF(B:B,E2,C:C)</f>
        <v>81.74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14.08</v>
      </c>
      <c r="N2" s="39">
        <v>44896.0</v>
      </c>
      <c r="O2" s="5">
        <f>sumif(A:A,N2,C:C)-I3</f>
        <v>290.04</v>
      </c>
      <c r="P2" s="5">
        <f>SUM(O2)</f>
        <v>290.04</v>
      </c>
    </row>
    <row r="3">
      <c r="A3" s="39">
        <v>44896.0</v>
      </c>
      <c r="B3" s="4" t="s">
        <v>521</v>
      </c>
      <c r="C3" s="21">
        <v>76.0</v>
      </c>
      <c r="E3" s="1" t="s">
        <v>209</v>
      </c>
      <c r="F3" s="5">
        <f>SUMIF(B:B,"Pret",C:C)+SUMIF(B:B,"Breakfast",C:C)</f>
        <v>17.35</v>
      </c>
      <c r="H3" s="1" t="s">
        <v>8</v>
      </c>
      <c r="I3" s="5">
        <f>SUMIF(B:B,H3,C:C)+I1</f>
        <v>967.77</v>
      </c>
      <c r="K3" s="1" t="s">
        <v>56</v>
      </c>
      <c r="L3" s="5">
        <f t="shared" si="1"/>
        <v>0</v>
      </c>
      <c r="N3" s="39">
        <v>44897.0</v>
      </c>
      <c r="O3" s="40">
        <f t="shared" ref="O3:O22" si="2">sumif(A:A,N3,C:C)</f>
        <v>122.55</v>
      </c>
      <c r="P3" s="5">
        <f t="shared" ref="P3:P32" si="3">P2+O3</f>
        <v>412.59</v>
      </c>
    </row>
    <row r="4">
      <c r="A4" s="39">
        <v>44896.0</v>
      </c>
      <c r="B4" s="4" t="s">
        <v>522</v>
      </c>
      <c r="C4" s="21">
        <v>14.26</v>
      </c>
      <c r="E4" s="1" t="s">
        <v>140</v>
      </c>
      <c r="F4" s="5">
        <f t="shared" ref="F4:F5" si="4">SUMIF(B:B,E4,C:C)</f>
        <v>29.85</v>
      </c>
      <c r="K4" s="1" t="s">
        <v>59</v>
      </c>
      <c r="L4" s="5">
        <f t="shared" si="1"/>
        <v>74.27</v>
      </c>
      <c r="N4" s="39">
        <v>44898.0</v>
      </c>
      <c r="O4" s="40">
        <f t="shared" si="2"/>
        <v>17.5</v>
      </c>
      <c r="P4" s="5">
        <f t="shared" si="3"/>
        <v>430.09</v>
      </c>
    </row>
    <row r="5">
      <c r="A5" s="39">
        <v>44896.0</v>
      </c>
      <c r="B5" s="4" t="s">
        <v>523</v>
      </c>
      <c r="C5" s="21">
        <v>50.0</v>
      </c>
      <c r="E5" s="1" t="s">
        <v>210</v>
      </c>
      <c r="F5" s="5">
        <f t="shared" si="4"/>
        <v>55.99</v>
      </c>
      <c r="H5" s="1" t="s">
        <v>65</v>
      </c>
      <c r="I5" s="49">
        <v>3764.86</v>
      </c>
      <c r="K5" s="1" t="s">
        <v>66</v>
      </c>
      <c r="L5" s="5">
        <f t="shared" si="1"/>
        <v>22.9</v>
      </c>
      <c r="N5" s="39">
        <v>44899.0</v>
      </c>
      <c r="O5" s="40">
        <f t="shared" si="2"/>
        <v>20.81</v>
      </c>
      <c r="P5" s="5">
        <f t="shared" si="3"/>
        <v>450.9</v>
      </c>
    </row>
    <row r="6">
      <c r="A6" s="39">
        <v>44896.0</v>
      </c>
      <c r="B6" s="4" t="s">
        <v>513</v>
      </c>
      <c r="C6" s="12">
        <v>20.22</v>
      </c>
      <c r="E6" s="1" t="s">
        <v>57</v>
      </c>
      <c r="F6" s="5">
        <f>sum(L:L)</f>
        <v>186.23</v>
      </c>
      <c r="H6" s="1" t="s">
        <v>68</v>
      </c>
      <c r="I6" s="5">
        <f>sum(C:C)</f>
        <v>3697.09</v>
      </c>
      <c r="N6" s="39">
        <v>44900.0</v>
      </c>
      <c r="O6" s="40">
        <f t="shared" si="2"/>
        <v>7.57</v>
      </c>
      <c r="P6" s="5">
        <f t="shared" si="3"/>
        <v>458.47</v>
      </c>
    </row>
    <row r="7">
      <c r="A7" s="39">
        <v>44896.0</v>
      </c>
      <c r="B7" s="4" t="s">
        <v>524</v>
      </c>
      <c r="C7" s="21">
        <v>14.75</v>
      </c>
      <c r="E7" s="42" t="s">
        <v>61</v>
      </c>
      <c r="F7" s="5">
        <f>SUMIF(B:B,"Games",C:C)+SUMIF(B:B,"Spotify",C:C)+SUMIF(B:B,"Disney+",C:C)+SUMIF(B:B,"Book",C:C)+SUMIF(B:B,"Audible",C:C)+SUMIF(B:B,"Cinema",C:C)</f>
        <v>93.48</v>
      </c>
      <c r="H7" s="1" t="s">
        <v>72</v>
      </c>
      <c r="I7" s="5">
        <f>sum(F:F)+I2+I3</f>
        <v>3280.95</v>
      </c>
      <c r="N7" s="39">
        <v>44901.0</v>
      </c>
      <c r="O7" s="40">
        <f t="shared" si="2"/>
        <v>27.54</v>
      </c>
      <c r="P7" s="5">
        <f t="shared" si="3"/>
        <v>486.01</v>
      </c>
    </row>
    <row r="8">
      <c r="A8" s="39">
        <v>44896.0</v>
      </c>
      <c r="B8" s="4" t="s">
        <v>525</v>
      </c>
      <c r="C8" s="21">
        <v>110.0</v>
      </c>
      <c r="E8" s="1" t="s">
        <v>64</v>
      </c>
      <c r="F8" s="5">
        <f>SUMIF(B:B,E8,C:C)+SUMIF(B:B,"Shoes",C:C)</f>
        <v>50</v>
      </c>
      <c r="H8" s="1" t="s">
        <v>74</v>
      </c>
      <c r="I8" s="5">
        <f>I6-I7</f>
        <v>416.14</v>
      </c>
      <c r="N8" s="39">
        <v>44902.0</v>
      </c>
      <c r="O8" s="40">
        <f t="shared" si="2"/>
        <v>22.38</v>
      </c>
      <c r="P8" s="5">
        <f t="shared" si="3"/>
        <v>508.39</v>
      </c>
    </row>
    <row r="9">
      <c r="A9" s="39">
        <v>44896.0</v>
      </c>
      <c r="B9" s="4" t="s">
        <v>230</v>
      </c>
      <c r="C9" s="21">
        <v>50.0</v>
      </c>
      <c r="E9" s="1" t="s">
        <v>54</v>
      </c>
      <c r="F9" s="5">
        <f>SUMIF(B:B,E9,C:C)+SUMIF(B:B,"Gym",C:C)+SUMIF(B:B,"Phone",C:C)</f>
        <v>1139.99</v>
      </c>
      <c r="H9" s="1"/>
      <c r="N9" s="39">
        <v>44903.0</v>
      </c>
      <c r="O9" s="40">
        <f t="shared" si="2"/>
        <v>36</v>
      </c>
      <c r="P9" s="5">
        <f t="shared" si="3"/>
        <v>544.39</v>
      </c>
    </row>
    <row r="10">
      <c r="A10" s="39">
        <v>44896.0</v>
      </c>
      <c r="B10" s="4" t="s">
        <v>209</v>
      </c>
      <c r="C10" s="21">
        <v>4.2</v>
      </c>
      <c r="E10" s="1" t="s">
        <v>127</v>
      </c>
      <c r="F10" s="5">
        <f>SUMIF(B:B,E10,C:C)</f>
        <v>52.35</v>
      </c>
      <c r="N10" s="39">
        <v>44904.0</v>
      </c>
      <c r="O10" s="40">
        <f t="shared" si="2"/>
        <v>51.33</v>
      </c>
      <c r="P10" s="5">
        <f t="shared" si="3"/>
        <v>595.72</v>
      </c>
    </row>
    <row r="11">
      <c r="A11" s="39">
        <v>44896.0</v>
      </c>
      <c r="B11" s="4" t="s">
        <v>47</v>
      </c>
      <c r="C11" s="21">
        <v>5.14</v>
      </c>
      <c r="E11" s="1" t="s">
        <v>164</v>
      </c>
      <c r="F11" s="48">
        <f>SUMIF(B:B,"Cigs",C:C)</f>
        <v>40.4</v>
      </c>
      <c r="N11" s="39">
        <v>44905.0</v>
      </c>
      <c r="O11" s="40">
        <f t="shared" si="2"/>
        <v>19.28</v>
      </c>
      <c r="P11" s="5">
        <f t="shared" si="3"/>
        <v>615</v>
      </c>
    </row>
    <row r="12">
      <c r="A12" s="39">
        <v>44896.0</v>
      </c>
      <c r="B12" s="4" t="s">
        <v>210</v>
      </c>
      <c r="C12" s="21">
        <v>6.49</v>
      </c>
      <c r="E12" s="1" t="s">
        <v>73</v>
      </c>
      <c r="F12" s="5">
        <f>SUMIF(B:B,"Uber",C:C)</f>
        <v>46.39</v>
      </c>
      <c r="N12" s="39">
        <v>44906.0</v>
      </c>
      <c r="O12" s="40">
        <f t="shared" si="2"/>
        <v>33.53</v>
      </c>
      <c r="P12" s="5">
        <f t="shared" si="3"/>
        <v>648.53</v>
      </c>
    </row>
    <row r="13">
      <c r="A13" s="39">
        <v>44896.0</v>
      </c>
      <c r="B13" s="4" t="s">
        <v>73</v>
      </c>
      <c r="C13" s="21">
        <v>6.75</v>
      </c>
      <c r="N13" s="39">
        <v>44907.0</v>
      </c>
      <c r="O13" s="40">
        <f t="shared" si="2"/>
        <v>4.38</v>
      </c>
      <c r="P13" s="5">
        <f t="shared" si="3"/>
        <v>652.91</v>
      </c>
    </row>
    <row r="14">
      <c r="A14" s="39">
        <v>44897.0</v>
      </c>
      <c r="B14" s="4" t="s">
        <v>526</v>
      </c>
      <c r="C14" s="21">
        <v>25.0</v>
      </c>
      <c r="H14" s="19"/>
      <c r="N14" s="39">
        <v>44908.0</v>
      </c>
      <c r="O14" s="40">
        <f t="shared" si="2"/>
        <v>68.79</v>
      </c>
      <c r="P14" s="5">
        <f t="shared" si="3"/>
        <v>721.7</v>
      </c>
    </row>
    <row r="15">
      <c r="A15" s="39">
        <v>44897.0</v>
      </c>
      <c r="B15" s="4" t="s">
        <v>127</v>
      </c>
      <c r="C15" s="21">
        <v>8.6</v>
      </c>
      <c r="H15" s="19"/>
      <c r="N15" s="39">
        <v>44909.0</v>
      </c>
      <c r="O15" s="40">
        <f t="shared" si="2"/>
        <v>26.14</v>
      </c>
      <c r="P15" s="5">
        <f t="shared" si="3"/>
        <v>747.84</v>
      </c>
    </row>
    <row r="16">
      <c r="A16" s="39">
        <v>44897.0</v>
      </c>
      <c r="B16" s="4" t="s">
        <v>45</v>
      </c>
      <c r="C16" s="21">
        <v>21.0</v>
      </c>
      <c r="H16" s="19"/>
      <c r="N16" s="39">
        <v>44910.0</v>
      </c>
      <c r="O16" s="40">
        <f t="shared" si="2"/>
        <v>1081.13</v>
      </c>
      <c r="P16" s="5">
        <f t="shared" si="3"/>
        <v>1828.97</v>
      </c>
    </row>
    <row r="17">
      <c r="A17" s="39">
        <v>44897.0</v>
      </c>
      <c r="B17" s="4" t="s">
        <v>45</v>
      </c>
      <c r="C17" s="21">
        <v>5.5</v>
      </c>
      <c r="H17" s="19"/>
      <c r="N17" s="39">
        <v>44911.0</v>
      </c>
      <c r="O17" s="40">
        <f t="shared" si="2"/>
        <v>132.35</v>
      </c>
      <c r="P17" s="5">
        <f t="shared" si="3"/>
        <v>1961.32</v>
      </c>
    </row>
    <row r="18">
      <c r="A18" s="39">
        <v>44897.0</v>
      </c>
      <c r="B18" s="4" t="s">
        <v>45</v>
      </c>
      <c r="C18" s="21">
        <v>11.0</v>
      </c>
      <c r="H18" s="19"/>
      <c r="N18" s="39">
        <v>44912.0</v>
      </c>
      <c r="O18" s="40">
        <f t="shared" si="2"/>
        <v>48.2</v>
      </c>
      <c r="P18" s="5">
        <f t="shared" si="3"/>
        <v>2009.52</v>
      </c>
    </row>
    <row r="19">
      <c r="A19" s="39">
        <v>44897.0</v>
      </c>
      <c r="B19" s="4" t="s">
        <v>45</v>
      </c>
      <c r="C19" s="21">
        <v>6.0</v>
      </c>
      <c r="H19" s="19"/>
      <c r="N19" s="39">
        <v>44913.0</v>
      </c>
      <c r="O19" s="40">
        <f t="shared" si="2"/>
        <v>71.41</v>
      </c>
      <c r="P19" s="5">
        <f t="shared" si="3"/>
        <v>2080.93</v>
      </c>
    </row>
    <row r="20">
      <c r="A20" s="39">
        <v>44897.0</v>
      </c>
      <c r="B20" s="4" t="s">
        <v>45</v>
      </c>
      <c r="C20" s="21">
        <v>5.05</v>
      </c>
      <c r="H20" s="19"/>
      <c r="N20" s="39">
        <v>44914.0</v>
      </c>
      <c r="O20" s="40">
        <f t="shared" si="2"/>
        <v>27</v>
      </c>
      <c r="P20" s="5">
        <f t="shared" si="3"/>
        <v>2107.93</v>
      </c>
    </row>
    <row r="21">
      <c r="A21" s="39">
        <v>44897.0</v>
      </c>
      <c r="B21" s="4" t="s">
        <v>164</v>
      </c>
      <c r="C21" s="21">
        <v>16.7</v>
      </c>
      <c r="E21" s="19"/>
      <c r="F21" s="5"/>
      <c r="H21" s="19"/>
      <c r="N21" s="39">
        <v>44915.0</v>
      </c>
      <c r="O21" s="40">
        <f t="shared" si="2"/>
        <v>15.23</v>
      </c>
      <c r="P21" s="5">
        <f t="shared" si="3"/>
        <v>2123.16</v>
      </c>
    </row>
    <row r="22">
      <c r="A22" s="39">
        <v>44897.0</v>
      </c>
      <c r="B22" s="4" t="s">
        <v>45</v>
      </c>
      <c r="C22" s="21">
        <v>5.0</v>
      </c>
      <c r="E22" s="19"/>
      <c r="F22" s="5"/>
      <c r="H22" s="19"/>
      <c r="N22" s="39">
        <v>44916.0</v>
      </c>
      <c r="O22" s="40">
        <f t="shared" si="2"/>
        <v>5.42</v>
      </c>
      <c r="P22" s="5">
        <f t="shared" si="3"/>
        <v>2128.58</v>
      </c>
    </row>
    <row r="23">
      <c r="A23" s="39">
        <v>44897.0</v>
      </c>
      <c r="B23" s="4" t="s">
        <v>45</v>
      </c>
      <c r="C23" s="21">
        <v>10.8</v>
      </c>
      <c r="E23" s="19"/>
      <c r="F23" s="5"/>
      <c r="H23" s="19"/>
      <c r="N23" s="39">
        <v>44917.0</v>
      </c>
      <c r="O23" s="5">
        <f>sumif(A:A,N23,C:C)-I2</f>
        <v>195.03</v>
      </c>
      <c r="P23" s="5">
        <f t="shared" si="3"/>
        <v>2323.61</v>
      </c>
    </row>
    <row r="24">
      <c r="A24" s="39">
        <v>44897.0</v>
      </c>
      <c r="B24" s="4" t="s">
        <v>45</v>
      </c>
      <c r="C24" s="21">
        <v>6.25</v>
      </c>
      <c r="E24" s="19"/>
      <c r="F24" s="5"/>
      <c r="H24" s="19"/>
      <c r="N24" s="39">
        <v>44918.0</v>
      </c>
      <c r="O24" s="40">
        <f t="shared" ref="O24:O32" si="5">sumif(A:A,N24,C:C)</f>
        <v>12.36</v>
      </c>
      <c r="P24" s="5">
        <f t="shared" si="3"/>
        <v>2335.97</v>
      </c>
    </row>
    <row r="25">
      <c r="A25" s="39">
        <v>44897.0</v>
      </c>
      <c r="B25" s="4" t="s">
        <v>127</v>
      </c>
      <c r="C25" s="21">
        <v>1.65</v>
      </c>
      <c r="E25" s="19"/>
      <c r="F25" s="5"/>
      <c r="H25" s="19"/>
      <c r="N25" s="39">
        <v>44919.0</v>
      </c>
      <c r="O25" s="40">
        <f t="shared" si="5"/>
        <v>13.05</v>
      </c>
      <c r="P25" s="5">
        <f t="shared" si="3"/>
        <v>2349.02</v>
      </c>
    </row>
    <row r="26">
      <c r="A26" s="39">
        <v>44898.0</v>
      </c>
      <c r="B26" s="4" t="s">
        <v>73</v>
      </c>
      <c r="C26" s="21">
        <v>5.0</v>
      </c>
      <c r="E26" s="19"/>
      <c r="F26" s="5"/>
      <c r="H26" s="19"/>
      <c r="N26" s="39">
        <v>44920.0</v>
      </c>
      <c r="O26" s="40">
        <f t="shared" si="5"/>
        <v>22.9</v>
      </c>
      <c r="P26" s="5">
        <f t="shared" si="3"/>
        <v>2371.92</v>
      </c>
    </row>
    <row r="27">
      <c r="A27" s="39">
        <v>44898.0</v>
      </c>
      <c r="B27" s="4" t="s">
        <v>210</v>
      </c>
      <c r="C27" s="21">
        <v>12.5</v>
      </c>
      <c r="E27" s="19"/>
      <c r="F27" s="5"/>
      <c r="H27" s="19"/>
      <c r="N27" s="39">
        <v>44921.0</v>
      </c>
      <c r="O27" s="40">
        <f t="shared" si="5"/>
        <v>17.77</v>
      </c>
      <c r="P27" s="5">
        <f t="shared" si="3"/>
        <v>2389.69</v>
      </c>
    </row>
    <row r="28">
      <c r="A28" s="39">
        <v>44899.0</v>
      </c>
      <c r="B28" s="4" t="s">
        <v>59</v>
      </c>
      <c r="C28" s="21">
        <v>20.81</v>
      </c>
      <c r="E28" s="19"/>
      <c r="F28" s="5"/>
      <c r="H28" s="19"/>
      <c r="N28" s="39">
        <v>44922.0</v>
      </c>
      <c r="O28" s="40">
        <f t="shared" si="5"/>
        <v>2.9</v>
      </c>
      <c r="P28" s="5">
        <f t="shared" si="3"/>
        <v>2392.59</v>
      </c>
    </row>
    <row r="29">
      <c r="A29" s="39">
        <v>44900.0</v>
      </c>
      <c r="B29" s="4" t="s">
        <v>358</v>
      </c>
      <c r="C29" s="21">
        <v>7.57</v>
      </c>
      <c r="E29" s="19"/>
      <c r="F29" s="5"/>
      <c r="H29" s="19"/>
      <c r="N29" s="39">
        <v>44923.0</v>
      </c>
      <c r="O29" s="40">
        <f t="shared" si="5"/>
        <v>32.48</v>
      </c>
      <c r="P29" s="5">
        <f t="shared" si="3"/>
        <v>2425.07</v>
      </c>
    </row>
    <row r="30">
      <c r="A30" s="39">
        <v>44901.0</v>
      </c>
      <c r="B30" s="4" t="s">
        <v>47</v>
      </c>
      <c r="C30" s="21">
        <v>10.5</v>
      </c>
      <c r="E30" s="19"/>
      <c r="F30" s="5"/>
      <c r="H30" s="19"/>
      <c r="N30" s="39">
        <v>44924.0</v>
      </c>
      <c r="O30" s="40">
        <f t="shared" si="5"/>
        <v>9.1</v>
      </c>
      <c r="P30" s="5">
        <f t="shared" si="3"/>
        <v>2434.17</v>
      </c>
    </row>
    <row r="31">
      <c r="A31" s="39">
        <v>44901.0</v>
      </c>
      <c r="B31" s="4" t="s">
        <v>47</v>
      </c>
      <c r="C31" s="21">
        <v>13.05</v>
      </c>
      <c r="E31" s="19"/>
      <c r="F31" s="5"/>
      <c r="H31" s="19"/>
      <c r="N31" s="39">
        <v>44925.0</v>
      </c>
      <c r="O31" s="40">
        <f t="shared" si="5"/>
        <v>10.75</v>
      </c>
      <c r="P31" s="5">
        <f t="shared" si="3"/>
        <v>2444.92</v>
      </c>
    </row>
    <row r="32">
      <c r="A32" s="39">
        <v>44901.0</v>
      </c>
      <c r="B32" s="4" t="s">
        <v>527</v>
      </c>
      <c r="C32" s="21">
        <v>3.99</v>
      </c>
      <c r="E32" s="19"/>
      <c r="F32" s="5"/>
      <c r="H32" s="19"/>
      <c r="N32" s="39">
        <v>44926.0</v>
      </c>
      <c r="O32" s="40">
        <f t="shared" si="5"/>
        <v>34.4</v>
      </c>
      <c r="P32" s="5">
        <f t="shared" si="3"/>
        <v>2479.32</v>
      </c>
    </row>
    <row r="33">
      <c r="A33" s="39">
        <v>44902.0</v>
      </c>
      <c r="B33" s="4" t="s">
        <v>209</v>
      </c>
      <c r="C33" s="21">
        <v>7.05</v>
      </c>
      <c r="E33" s="19"/>
      <c r="F33" s="5"/>
      <c r="H33" s="19"/>
      <c r="N33" s="39"/>
    </row>
    <row r="34">
      <c r="A34" s="39">
        <v>44902.0</v>
      </c>
      <c r="B34" s="4" t="s">
        <v>140</v>
      </c>
      <c r="C34" s="21">
        <v>6.35</v>
      </c>
      <c r="E34" s="19"/>
      <c r="F34" s="5"/>
      <c r="H34" s="19"/>
    </row>
    <row r="35">
      <c r="A35" s="39">
        <v>44902.0</v>
      </c>
      <c r="B35" s="4" t="s">
        <v>399</v>
      </c>
      <c r="C35" s="21">
        <v>8.98</v>
      </c>
      <c r="E35" s="19"/>
      <c r="F35" s="5"/>
      <c r="H35" s="19"/>
    </row>
    <row r="36">
      <c r="A36" s="39">
        <v>44903.0</v>
      </c>
      <c r="B36" s="4" t="s">
        <v>209</v>
      </c>
      <c r="C36" s="21">
        <v>6.1</v>
      </c>
      <c r="E36" s="19"/>
      <c r="F36" s="5"/>
      <c r="H36" s="19"/>
    </row>
    <row r="37">
      <c r="A37" s="39">
        <v>44903.0</v>
      </c>
      <c r="B37" s="4" t="s">
        <v>140</v>
      </c>
      <c r="C37" s="21">
        <v>23.5</v>
      </c>
      <c r="E37" s="19"/>
      <c r="F37" s="5"/>
      <c r="H37" s="19"/>
    </row>
    <row r="38">
      <c r="A38" s="39">
        <v>44903.0</v>
      </c>
      <c r="B38" s="4" t="s">
        <v>127</v>
      </c>
      <c r="C38" s="21">
        <v>6.4</v>
      </c>
      <c r="E38" s="19"/>
      <c r="F38" s="5"/>
      <c r="H38" s="19"/>
    </row>
    <row r="39">
      <c r="A39" s="39">
        <v>44904.0</v>
      </c>
      <c r="B39" s="4" t="s">
        <v>127</v>
      </c>
      <c r="C39" s="21">
        <v>5.8</v>
      </c>
      <c r="E39" s="19"/>
      <c r="F39" s="5"/>
      <c r="H39" s="19"/>
    </row>
    <row r="40">
      <c r="A40" s="39">
        <v>44904.0</v>
      </c>
      <c r="B40" s="4" t="s">
        <v>45</v>
      </c>
      <c r="C40" s="21">
        <v>35.56</v>
      </c>
      <c r="E40" s="19"/>
      <c r="F40" s="5"/>
      <c r="H40" s="19"/>
    </row>
    <row r="41">
      <c r="A41" s="39">
        <v>44904.0</v>
      </c>
      <c r="B41" s="4" t="s">
        <v>73</v>
      </c>
      <c r="C41" s="21">
        <v>9.97</v>
      </c>
      <c r="E41" s="19"/>
      <c r="F41" s="5"/>
      <c r="H41" s="19"/>
    </row>
    <row r="42">
      <c r="A42" s="39">
        <v>44905.0</v>
      </c>
      <c r="B42" s="4" t="s">
        <v>528</v>
      </c>
      <c r="C42" s="21">
        <v>19.28</v>
      </c>
      <c r="E42" s="19"/>
      <c r="F42" s="5"/>
      <c r="H42" s="19"/>
    </row>
    <row r="43">
      <c r="A43" s="39">
        <v>44906.0</v>
      </c>
      <c r="B43" s="4" t="s">
        <v>59</v>
      </c>
      <c r="C43" s="21">
        <v>18.53</v>
      </c>
      <c r="E43" s="19"/>
      <c r="F43" s="5"/>
      <c r="H43" s="19"/>
    </row>
    <row r="44">
      <c r="A44" s="39">
        <v>44906.0</v>
      </c>
      <c r="B44" s="4" t="s">
        <v>230</v>
      </c>
      <c r="C44" s="21">
        <v>15.0</v>
      </c>
      <c r="E44" s="19"/>
      <c r="F44" s="5"/>
      <c r="H44" s="19"/>
    </row>
    <row r="45">
      <c r="A45" s="39">
        <v>44907.0</v>
      </c>
      <c r="B45" s="4" t="s">
        <v>53</v>
      </c>
      <c r="C45" s="21">
        <v>4.38</v>
      </c>
      <c r="E45" s="19"/>
      <c r="F45" s="5"/>
      <c r="H45" s="19"/>
    </row>
    <row r="46">
      <c r="A46" s="39">
        <v>44908.0</v>
      </c>
      <c r="B46" s="4" t="s">
        <v>127</v>
      </c>
      <c r="C46" s="21">
        <v>2.0</v>
      </c>
      <c r="E46" s="19"/>
      <c r="F46" s="5"/>
      <c r="H46" s="19"/>
    </row>
    <row r="47">
      <c r="A47" s="39">
        <v>44908.0</v>
      </c>
      <c r="B47" s="4" t="s">
        <v>47</v>
      </c>
      <c r="C47" s="21">
        <v>11.79</v>
      </c>
      <c r="E47" s="19"/>
      <c r="F47" s="5"/>
      <c r="H47" s="19"/>
    </row>
    <row r="48">
      <c r="A48" s="39">
        <v>44908.0</v>
      </c>
      <c r="B48" s="4" t="s">
        <v>110</v>
      </c>
      <c r="C48" s="21">
        <v>55.0</v>
      </c>
      <c r="E48" s="19"/>
      <c r="F48" s="5"/>
      <c r="H48" s="19"/>
    </row>
    <row r="49">
      <c r="A49" s="39">
        <v>44909.0</v>
      </c>
      <c r="B49" s="4" t="s">
        <v>127</v>
      </c>
      <c r="C49" s="21">
        <v>1.7</v>
      </c>
      <c r="E49" s="19"/>
      <c r="F49" s="5"/>
      <c r="H49" s="19"/>
    </row>
    <row r="50">
      <c r="A50" s="39">
        <v>44909.0</v>
      </c>
      <c r="B50" s="4" t="s">
        <v>127</v>
      </c>
      <c r="C50" s="4">
        <v>5.8</v>
      </c>
      <c r="E50" s="19"/>
      <c r="F50" s="5"/>
      <c r="H50" s="19"/>
    </row>
    <row r="51">
      <c r="A51" s="39">
        <v>44909.0</v>
      </c>
      <c r="B51" s="4" t="s">
        <v>59</v>
      </c>
      <c r="C51" s="21">
        <v>2.45</v>
      </c>
      <c r="E51" s="19"/>
      <c r="F51" s="5"/>
      <c r="H51" s="19"/>
    </row>
    <row r="52">
      <c r="A52" s="39">
        <v>44909.0</v>
      </c>
      <c r="B52" s="4" t="s">
        <v>517</v>
      </c>
      <c r="C52" s="21">
        <v>16.19</v>
      </c>
      <c r="E52" s="19"/>
      <c r="F52" s="5"/>
      <c r="H52" s="19"/>
    </row>
    <row r="53">
      <c r="A53" s="39">
        <v>44910.0</v>
      </c>
      <c r="B53" s="4" t="s">
        <v>54</v>
      </c>
      <c r="C53" s="41">
        <v>1055.0</v>
      </c>
      <c r="E53" s="19"/>
      <c r="F53" s="5"/>
      <c r="H53" s="19"/>
    </row>
    <row r="54">
      <c r="A54" s="39">
        <v>44910.0</v>
      </c>
      <c r="B54" s="4" t="s">
        <v>517</v>
      </c>
      <c r="C54" s="21">
        <v>16.14</v>
      </c>
      <c r="E54" s="19"/>
      <c r="F54" s="5"/>
      <c r="H54" s="19"/>
    </row>
    <row r="55">
      <c r="A55" s="39">
        <v>44910.0</v>
      </c>
      <c r="B55" s="4" t="s">
        <v>254</v>
      </c>
      <c r="C55" s="21">
        <v>9.99</v>
      </c>
      <c r="E55" s="19"/>
      <c r="F55" s="5"/>
      <c r="H55" s="19"/>
    </row>
    <row r="56">
      <c r="A56" s="39">
        <v>44911.0</v>
      </c>
      <c r="B56" s="4" t="s">
        <v>476</v>
      </c>
      <c r="C56" s="21">
        <v>8.4</v>
      </c>
      <c r="E56" s="19"/>
      <c r="F56" s="5"/>
      <c r="H56" s="19"/>
    </row>
    <row r="57">
      <c r="A57" s="39">
        <v>44911.0</v>
      </c>
      <c r="B57" s="4" t="s">
        <v>298</v>
      </c>
      <c r="C57" s="43">
        <v>14.5</v>
      </c>
      <c r="E57" s="19"/>
      <c r="F57" s="5"/>
      <c r="H57" s="19"/>
    </row>
    <row r="58">
      <c r="A58" s="39">
        <v>44911.0</v>
      </c>
      <c r="B58" s="4" t="s">
        <v>529</v>
      </c>
      <c r="C58" s="21">
        <v>72.45</v>
      </c>
      <c r="E58" s="19"/>
      <c r="F58" s="5"/>
      <c r="H58" s="19"/>
    </row>
    <row r="59">
      <c r="A59" s="39">
        <v>44911.0</v>
      </c>
      <c r="B59" s="4" t="s">
        <v>210</v>
      </c>
      <c r="C59" s="21">
        <v>37.0</v>
      </c>
      <c r="E59" s="19"/>
      <c r="F59" s="5"/>
      <c r="H59" s="19"/>
    </row>
    <row r="60">
      <c r="A60" s="39">
        <v>44912.0</v>
      </c>
      <c r="B60" s="4" t="s">
        <v>45</v>
      </c>
      <c r="C60" s="21">
        <v>45.0</v>
      </c>
      <c r="E60" s="19"/>
      <c r="F60" s="5"/>
      <c r="H60" s="19"/>
    </row>
    <row r="61">
      <c r="A61" s="39">
        <v>44912.0</v>
      </c>
      <c r="B61" s="4" t="s">
        <v>127</v>
      </c>
      <c r="C61" s="21">
        <v>3.2</v>
      </c>
      <c r="E61" s="19"/>
      <c r="F61" s="5"/>
      <c r="H61" s="19"/>
    </row>
    <row r="62">
      <c r="A62" s="39">
        <v>44913.0</v>
      </c>
      <c r="B62" s="4" t="s">
        <v>127</v>
      </c>
      <c r="C62" s="21">
        <v>1.6</v>
      </c>
      <c r="E62" s="19"/>
      <c r="F62" s="5"/>
      <c r="H62" s="19"/>
    </row>
    <row r="63">
      <c r="A63" s="39">
        <v>44913.0</v>
      </c>
      <c r="B63" s="4" t="s">
        <v>399</v>
      </c>
      <c r="C63" s="21">
        <v>9.99</v>
      </c>
      <c r="E63" s="19"/>
      <c r="F63" s="5"/>
      <c r="H63" s="19"/>
    </row>
    <row r="64">
      <c r="A64" s="39">
        <v>44917.0</v>
      </c>
      <c r="B64" s="4" t="s">
        <v>480</v>
      </c>
      <c r="C64" s="21">
        <v>250.0</v>
      </c>
      <c r="E64" s="19"/>
      <c r="F64" s="5"/>
      <c r="H64" s="19"/>
    </row>
    <row r="65">
      <c r="A65" s="39">
        <v>44917.0</v>
      </c>
      <c r="B65" s="4" t="s">
        <v>252</v>
      </c>
      <c r="C65" s="21">
        <v>35.99</v>
      </c>
      <c r="E65" s="19"/>
      <c r="F65" s="5"/>
      <c r="H65" s="19"/>
    </row>
    <row r="66">
      <c r="A66" s="39">
        <v>44917.0</v>
      </c>
      <c r="B66" s="4" t="s">
        <v>253</v>
      </c>
      <c r="C66" s="21">
        <v>49.0</v>
      </c>
      <c r="E66" s="19"/>
      <c r="F66" s="5"/>
      <c r="H66" s="19"/>
    </row>
    <row r="67">
      <c r="A67" s="39">
        <v>44917.0</v>
      </c>
      <c r="B67" s="4" t="s">
        <v>64</v>
      </c>
      <c r="C67" s="21">
        <v>50.0</v>
      </c>
      <c r="E67" s="19"/>
      <c r="F67" s="5"/>
      <c r="H67" s="19"/>
    </row>
    <row r="68">
      <c r="A68" s="39">
        <v>44913.0</v>
      </c>
      <c r="B68" s="4" t="s">
        <v>62</v>
      </c>
      <c r="C68" s="21">
        <v>1.55</v>
      </c>
      <c r="E68" s="19"/>
      <c r="F68" s="5"/>
      <c r="H68" s="19"/>
    </row>
    <row r="69">
      <c r="A69" s="39">
        <v>44913.0</v>
      </c>
      <c r="B69" s="4" t="s">
        <v>45</v>
      </c>
      <c r="C69" s="21">
        <v>27.4</v>
      </c>
      <c r="E69" s="19"/>
      <c r="F69" s="5"/>
      <c r="H69" s="19"/>
    </row>
    <row r="70">
      <c r="A70" s="39">
        <v>44913.0</v>
      </c>
      <c r="B70" s="4" t="s">
        <v>45</v>
      </c>
      <c r="C70" s="21">
        <v>12.38</v>
      </c>
      <c r="E70" s="19"/>
      <c r="F70" s="5"/>
      <c r="H70" s="19"/>
    </row>
    <row r="71">
      <c r="A71" s="39">
        <v>44913.0</v>
      </c>
      <c r="B71" s="4" t="s">
        <v>45</v>
      </c>
      <c r="C71" s="21">
        <v>4.57</v>
      </c>
      <c r="E71" s="19"/>
      <c r="F71" s="5"/>
      <c r="H71" s="19"/>
    </row>
    <row r="72">
      <c r="A72" s="39">
        <v>44913.0</v>
      </c>
      <c r="B72" s="4" t="s">
        <v>73</v>
      </c>
      <c r="C72" s="21">
        <v>13.92</v>
      </c>
      <c r="E72" s="19"/>
      <c r="F72" s="5"/>
      <c r="H72" s="19"/>
    </row>
    <row r="73">
      <c r="A73" s="39">
        <v>44914.0</v>
      </c>
      <c r="B73" s="4" t="s">
        <v>127</v>
      </c>
      <c r="C73" s="21">
        <v>2.6</v>
      </c>
      <c r="E73" s="19"/>
      <c r="F73" s="5"/>
      <c r="H73" s="19"/>
    </row>
    <row r="74">
      <c r="A74" s="39">
        <v>44914.0</v>
      </c>
      <c r="B74" s="4" t="s">
        <v>66</v>
      </c>
      <c r="C74" s="21">
        <v>22.9</v>
      </c>
      <c r="E74" s="19"/>
      <c r="F74" s="5"/>
      <c r="H74" s="19"/>
    </row>
    <row r="75">
      <c r="A75" s="39">
        <v>44914.0</v>
      </c>
      <c r="B75" s="4" t="s">
        <v>47</v>
      </c>
      <c r="C75" s="21">
        <v>1.5</v>
      </c>
      <c r="E75" s="19"/>
      <c r="F75" s="5"/>
      <c r="H75" s="19"/>
    </row>
    <row r="76">
      <c r="A76" s="39">
        <v>44915.0</v>
      </c>
      <c r="B76" s="4" t="s">
        <v>530</v>
      </c>
      <c r="C76" s="21">
        <v>5.75</v>
      </c>
      <c r="E76" s="19"/>
      <c r="F76" s="5"/>
      <c r="H76" s="19"/>
    </row>
    <row r="77">
      <c r="A77" s="39">
        <v>44915.0</v>
      </c>
      <c r="B77" s="4" t="s">
        <v>127</v>
      </c>
      <c r="C77" s="21">
        <v>5.2</v>
      </c>
      <c r="E77" s="19"/>
      <c r="F77" s="5"/>
      <c r="H77" s="19"/>
    </row>
    <row r="78">
      <c r="A78" s="39">
        <v>44915.0</v>
      </c>
      <c r="B78" s="4" t="s">
        <v>53</v>
      </c>
      <c r="C78" s="21">
        <v>4.28</v>
      </c>
      <c r="E78" s="19"/>
      <c r="F78" s="5"/>
      <c r="H78" s="19"/>
    </row>
    <row r="79">
      <c r="A79" s="39">
        <v>44916.0</v>
      </c>
      <c r="B79" s="4" t="s">
        <v>53</v>
      </c>
      <c r="C79" s="21">
        <v>5.42</v>
      </c>
      <c r="E79" s="19"/>
      <c r="F79" s="5"/>
      <c r="H79" s="19"/>
    </row>
    <row r="80">
      <c r="A80" s="39">
        <v>44917.0</v>
      </c>
      <c r="B80" s="4" t="s">
        <v>497</v>
      </c>
      <c r="C80" s="21">
        <v>3.99</v>
      </c>
      <c r="E80" s="19"/>
      <c r="F80" s="5"/>
      <c r="H80" s="19"/>
    </row>
    <row r="81">
      <c r="A81" s="39">
        <v>44917.0</v>
      </c>
      <c r="B81" s="4" t="s">
        <v>47</v>
      </c>
      <c r="C81" s="21">
        <v>10.85</v>
      </c>
      <c r="E81" s="19"/>
      <c r="F81" s="5"/>
      <c r="H81" s="19"/>
    </row>
    <row r="82">
      <c r="A82" s="39">
        <v>44917.0</v>
      </c>
      <c r="B82" s="4" t="s">
        <v>45</v>
      </c>
      <c r="C82" s="21">
        <v>5.05</v>
      </c>
      <c r="E82" s="19"/>
      <c r="F82" s="5"/>
      <c r="H82" s="19"/>
    </row>
    <row r="83">
      <c r="A83" s="39">
        <v>44917.0</v>
      </c>
      <c r="B83" s="4" t="s">
        <v>45</v>
      </c>
      <c r="C83" s="21">
        <v>11.4</v>
      </c>
      <c r="E83" s="19"/>
      <c r="F83" s="5"/>
      <c r="H83" s="19"/>
    </row>
    <row r="84">
      <c r="A84" s="39">
        <v>44917.0</v>
      </c>
      <c r="B84" s="4" t="s">
        <v>45</v>
      </c>
      <c r="C84" s="21">
        <v>5.05</v>
      </c>
      <c r="E84" s="19"/>
      <c r="F84" s="5"/>
      <c r="H84" s="19"/>
    </row>
    <row r="85">
      <c r="A85" s="39">
        <v>44917.0</v>
      </c>
      <c r="B85" s="4" t="s">
        <v>164</v>
      </c>
      <c r="C85" s="21">
        <v>23.7</v>
      </c>
      <c r="E85" s="19"/>
      <c r="F85" s="5"/>
      <c r="H85" s="19"/>
    </row>
    <row r="86">
      <c r="A86" s="39">
        <v>44918.0</v>
      </c>
      <c r="B86" s="4" t="s">
        <v>517</v>
      </c>
      <c r="C86" s="21">
        <v>12.36</v>
      </c>
      <c r="E86" s="19"/>
      <c r="F86" s="5"/>
      <c r="H86" s="19"/>
    </row>
    <row r="87">
      <c r="A87" s="39">
        <v>44919.0</v>
      </c>
      <c r="B87" s="4" t="s">
        <v>47</v>
      </c>
      <c r="C87" s="21">
        <v>4.05</v>
      </c>
      <c r="E87" s="19"/>
      <c r="F87" s="5"/>
      <c r="H87" s="19"/>
    </row>
    <row r="88">
      <c r="A88" s="39">
        <v>44919.0</v>
      </c>
      <c r="B88" s="4" t="s">
        <v>47</v>
      </c>
      <c r="C88" s="21">
        <f>3.4+5.6</f>
        <v>9</v>
      </c>
      <c r="E88" s="19"/>
      <c r="F88" s="5"/>
      <c r="H88" s="19"/>
    </row>
    <row r="89">
      <c r="A89" s="39">
        <v>44920.0</v>
      </c>
      <c r="B89" s="4" t="s">
        <v>127</v>
      </c>
      <c r="C89" s="21">
        <v>2.9</v>
      </c>
      <c r="E89" s="19"/>
      <c r="F89" s="5"/>
      <c r="H89" s="19"/>
    </row>
    <row r="90">
      <c r="A90" s="39">
        <v>44920.0</v>
      </c>
      <c r="B90" s="4" t="s">
        <v>45</v>
      </c>
      <c r="C90" s="21">
        <v>20.0</v>
      </c>
      <c r="E90" s="19"/>
      <c r="F90" s="5"/>
      <c r="H90" s="19"/>
    </row>
    <row r="91">
      <c r="A91" s="39">
        <v>44921.0</v>
      </c>
      <c r="B91" s="4" t="s">
        <v>52</v>
      </c>
      <c r="C91" s="21">
        <v>17.77</v>
      </c>
      <c r="E91" s="19"/>
      <c r="F91" s="5"/>
      <c r="H91" s="19"/>
    </row>
    <row r="92">
      <c r="A92" s="39">
        <v>44922.0</v>
      </c>
      <c r="B92" s="4" t="s">
        <v>127</v>
      </c>
      <c r="C92" s="21">
        <v>2.9</v>
      </c>
      <c r="E92" s="19"/>
      <c r="F92" s="5"/>
      <c r="H92" s="19"/>
    </row>
    <row r="93">
      <c r="A93" s="39">
        <v>44923.0</v>
      </c>
      <c r="B93" s="4" t="s">
        <v>59</v>
      </c>
      <c r="C93" s="21">
        <v>32.48</v>
      </c>
      <c r="E93" s="19"/>
      <c r="F93" s="5"/>
      <c r="H93" s="19"/>
    </row>
    <row r="94">
      <c r="A94" s="39">
        <v>44924.0</v>
      </c>
      <c r="B94" s="4" t="s">
        <v>47</v>
      </c>
      <c r="C94" s="21">
        <v>9.1</v>
      </c>
      <c r="E94" s="19"/>
      <c r="F94" s="5"/>
      <c r="H94" s="19"/>
    </row>
    <row r="95">
      <c r="A95" s="39">
        <v>44925.0</v>
      </c>
      <c r="B95" s="4" t="s">
        <v>73</v>
      </c>
      <c r="C95" s="21">
        <v>10.75</v>
      </c>
      <c r="E95" s="19"/>
      <c r="F95" s="5"/>
      <c r="H95" s="19"/>
    </row>
    <row r="96">
      <c r="A96" s="39">
        <v>44926.0</v>
      </c>
      <c r="B96" s="4" t="s">
        <v>127</v>
      </c>
      <c r="C96" s="21">
        <v>2.0</v>
      </c>
      <c r="E96" s="19"/>
      <c r="F96" s="5"/>
      <c r="H96" s="19"/>
    </row>
    <row r="97">
      <c r="A97" s="39">
        <v>44926.0</v>
      </c>
      <c r="B97" s="4" t="s">
        <v>45</v>
      </c>
      <c r="C97" s="21">
        <f>6.6+25.8</f>
        <v>32.4</v>
      </c>
      <c r="E97" s="19"/>
      <c r="F97" s="5"/>
      <c r="H97" s="19"/>
    </row>
    <row r="98">
      <c r="A98" s="39"/>
      <c r="C98" s="21"/>
      <c r="E98" s="19"/>
      <c r="F98" s="5"/>
      <c r="H98" s="19"/>
    </row>
    <row r="99">
      <c r="A99" s="39"/>
      <c r="C99" s="21"/>
      <c r="E99" s="19"/>
      <c r="F99" s="5"/>
      <c r="H99" s="19"/>
    </row>
    <row r="100">
      <c r="A100" s="39"/>
      <c r="C100" s="21"/>
      <c r="E100" s="19"/>
      <c r="F100" s="5"/>
      <c r="H100" s="19"/>
    </row>
    <row r="101">
      <c r="A101" s="44"/>
      <c r="C101" s="5"/>
      <c r="E101" s="19"/>
      <c r="F101" s="5"/>
      <c r="H101" s="19"/>
    </row>
    <row r="102">
      <c r="A102" s="44"/>
      <c r="C102" s="5"/>
      <c r="E102" s="19"/>
      <c r="F102" s="5"/>
      <c r="H102" s="19"/>
    </row>
    <row r="103">
      <c r="A103" s="44"/>
      <c r="C103" s="5"/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39"/>
      <c r="C1000" s="5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1">
    <cfRule type="cellIs" dxfId="3" priority="3" operator="greaterThan">
      <formula>0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59" t="s">
        <v>44</v>
      </c>
      <c r="D1" s="19"/>
      <c r="E1" s="1" t="s">
        <v>45</v>
      </c>
      <c r="F1" s="5">
        <f>SUMIF(B:B,E1,C:C)+SUMIF(B:B,"Drinks",C:C)</f>
        <v>94.9</v>
      </c>
      <c r="H1" s="1" t="s">
        <v>46</v>
      </c>
      <c r="I1" s="5">
        <f>I5-I6</f>
        <v>-14.7</v>
      </c>
      <c r="J1" s="19"/>
      <c r="K1" s="1" t="s">
        <v>47</v>
      </c>
      <c r="L1" s="5">
        <f t="shared" ref="L1:L5" si="1">SUMIF(B:B,K1,C:I)</f>
        <v>73.31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44866.0</v>
      </c>
      <c r="B2" s="4" t="s">
        <v>8</v>
      </c>
      <c r="C2" s="60">
        <v>250.0</v>
      </c>
      <c r="E2" s="1" t="s">
        <v>52</v>
      </c>
      <c r="F2" s="5">
        <f>SUMIF(B:B,"Deliveroo",C:C)+SUMIF(B:B,"Just eat",C:C)+SUMIF(B:B,"Uber eats",C:C)+SUMIF(B:B,E2,C:C)</f>
        <v>65.95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32.58</v>
      </c>
      <c r="N2" s="39">
        <v>44866.0</v>
      </c>
      <c r="O2" s="5">
        <f>sumif(A:A,N2,C:C)-I3</f>
        <v>42.46</v>
      </c>
      <c r="P2" s="5">
        <f>SUM(O2)</f>
        <v>42.46</v>
      </c>
    </row>
    <row r="3">
      <c r="A3" s="39">
        <v>44880.0</v>
      </c>
      <c r="B3" s="4" t="s">
        <v>54</v>
      </c>
      <c r="C3" s="41">
        <v>1055.0</v>
      </c>
      <c r="E3" s="1" t="s">
        <v>209</v>
      </c>
      <c r="F3" s="5">
        <f>SUMIF(B:B,"Pret",C:C)+SUMIF(B:B,"Breakfast",C:C)</f>
        <v>20.9</v>
      </c>
      <c r="H3" s="1" t="s">
        <v>8</v>
      </c>
      <c r="I3" s="5">
        <f>SUMIF(B:B,H3,C:C)+I1</f>
        <v>235.3</v>
      </c>
      <c r="K3" s="1" t="s">
        <v>56</v>
      </c>
      <c r="L3" s="5">
        <f t="shared" si="1"/>
        <v>0</v>
      </c>
      <c r="N3" s="39">
        <v>44867.0</v>
      </c>
      <c r="O3" s="40">
        <f t="shared" ref="O3:O22" si="2">sumif(A:A,N3,C:C)</f>
        <v>105.37</v>
      </c>
      <c r="P3" s="5">
        <f t="shared" ref="P3:P31" si="3">P2+O3</f>
        <v>147.83</v>
      </c>
    </row>
    <row r="4">
      <c r="A4" s="39">
        <v>44887.0</v>
      </c>
      <c r="B4" s="4" t="s">
        <v>480</v>
      </c>
      <c r="C4" s="60">
        <v>250.0</v>
      </c>
      <c r="E4" s="1" t="s">
        <v>140</v>
      </c>
      <c r="F4" s="5">
        <f t="shared" ref="F4:F5" si="4">SUMIF(B:B,E4,C:C)</f>
        <v>42.9</v>
      </c>
      <c r="K4" s="1" t="s">
        <v>59</v>
      </c>
      <c r="L4" s="5">
        <f t="shared" si="1"/>
        <v>48.9</v>
      </c>
      <c r="N4" s="39">
        <v>44868.0</v>
      </c>
      <c r="O4" s="40">
        <f t="shared" si="2"/>
        <v>11.26</v>
      </c>
      <c r="P4" s="5">
        <f t="shared" si="3"/>
        <v>159.09</v>
      </c>
    </row>
    <row r="5">
      <c r="A5" s="39">
        <v>44887.0</v>
      </c>
      <c r="B5" s="4" t="s">
        <v>252</v>
      </c>
      <c r="C5" s="60">
        <v>35.99</v>
      </c>
      <c r="E5" s="1" t="s">
        <v>210</v>
      </c>
      <c r="F5" s="5">
        <f t="shared" si="4"/>
        <v>48.65</v>
      </c>
      <c r="H5" s="1" t="s">
        <v>65</v>
      </c>
      <c r="I5" s="49">
        <v>2447.86</v>
      </c>
      <c r="K5" s="1" t="s">
        <v>531</v>
      </c>
      <c r="L5" s="5">
        <f t="shared" si="1"/>
        <v>15</v>
      </c>
      <c r="N5" s="39">
        <v>44869.0</v>
      </c>
      <c r="O5" s="40">
        <f t="shared" si="2"/>
        <v>56.5</v>
      </c>
      <c r="P5" s="5">
        <f t="shared" si="3"/>
        <v>215.59</v>
      </c>
    </row>
    <row r="6">
      <c r="A6" s="39">
        <v>44887.0</v>
      </c>
      <c r="B6" s="4" t="s">
        <v>253</v>
      </c>
      <c r="C6" s="60">
        <v>49.0</v>
      </c>
      <c r="E6" s="1" t="s">
        <v>57</v>
      </c>
      <c r="F6" s="5">
        <f>sum(L:L)</f>
        <v>169.79</v>
      </c>
      <c r="H6" s="1" t="s">
        <v>68</v>
      </c>
      <c r="I6" s="5">
        <f>sum(C:C)</f>
        <v>2462.56</v>
      </c>
      <c r="N6" s="39">
        <v>44870.0</v>
      </c>
      <c r="O6" s="40">
        <f t="shared" si="2"/>
        <v>24.29</v>
      </c>
      <c r="P6" s="5">
        <f t="shared" si="3"/>
        <v>239.88</v>
      </c>
    </row>
    <row r="7">
      <c r="A7" s="39">
        <v>44866.0</v>
      </c>
      <c r="B7" s="4" t="s">
        <v>127</v>
      </c>
      <c r="C7" s="60">
        <v>1.7</v>
      </c>
      <c r="E7" s="42" t="s">
        <v>61</v>
      </c>
      <c r="F7" s="5">
        <f>SUMIF(B:B,"Games",C:C)+SUMIF(B:B,"Spotify",C:C)+SUMIF(B:B,"Disney+",C:C)+SUMIF(B:B,"Book",C:C)+SUMIF(B:B,"Audible",C:C)</f>
        <v>57.71</v>
      </c>
      <c r="H7" s="1" t="s">
        <v>72</v>
      </c>
      <c r="I7" s="5">
        <f>sum(F:F)+I2+I3</f>
        <v>2281.47</v>
      </c>
      <c r="N7" s="39">
        <v>44871.0</v>
      </c>
      <c r="O7" s="40">
        <f t="shared" si="2"/>
        <v>14.89</v>
      </c>
      <c r="P7" s="5">
        <f t="shared" si="3"/>
        <v>254.77</v>
      </c>
    </row>
    <row r="8">
      <c r="A8" s="39">
        <v>44866.0</v>
      </c>
      <c r="B8" s="4" t="s">
        <v>52</v>
      </c>
      <c r="C8" s="60">
        <v>6.59</v>
      </c>
      <c r="E8" s="1" t="s">
        <v>64</v>
      </c>
      <c r="F8" s="5">
        <f>SUMIF(B:B,E8,C:C)+SUMIF(B:B,"Shoes",C:C)</f>
        <v>80</v>
      </c>
      <c r="H8" s="1" t="s">
        <v>74</v>
      </c>
      <c r="I8" s="5">
        <f>I6-I7</f>
        <v>181.09</v>
      </c>
      <c r="N8" s="39">
        <v>44872.0</v>
      </c>
      <c r="O8" s="40">
        <f t="shared" si="2"/>
        <v>8.07</v>
      </c>
      <c r="P8" s="5">
        <f t="shared" si="3"/>
        <v>262.84</v>
      </c>
    </row>
    <row r="9">
      <c r="A9" s="39">
        <v>44866.0</v>
      </c>
      <c r="B9" s="4" t="s">
        <v>47</v>
      </c>
      <c r="C9" s="60">
        <v>1.15</v>
      </c>
      <c r="E9" s="1" t="s">
        <v>54</v>
      </c>
      <c r="F9" s="5">
        <f>SUMIF(B:B,E9,C:C)+SUMIF(B:B,"Gym",C:C)+SUMIF(B:B,"Phone",C:C)</f>
        <v>1139.99</v>
      </c>
      <c r="H9" s="1"/>
      <c r="N9" s="39">
        <v>44873.0</v>
      </c>
      <c r="O9" s="40">
        <f t="shared" si="2"/>
        <v>3.49</v>
      </c>
      <c r="P9" s="5">
        <f t="shared" si="3"/>
        <v>266.33</v>
      </c>
    </row>
    <row r="10">
      <c r="A10" s="39">
        <v>44866.0</v>
      </c>
      <c r="B10" s="4" t="s">
        <v>531</v>
      </c>
      <c r="C10" s="60">
        <v>15.0</v>
      </c>
      <c r="E10" s="1" t="s">
        <v>127</v>
      </c>
      <c r="F10" s="5">
        <f>SUMIF(B:B,E10,C:C)</f>
        <v>64.3</v>
      </c>
      <c r="N10" s="39">
        <v>44874.0</v>
      </c>
      <c r="O10" s="40">
        <f t="shared" si="2"/>
        <v>45.05</v>
      </c>
      <c r="P10" s="5">
        <f t="shared" si="3"/>
        <v>311.38</v>
      </c>
    </row>
    <row r="11">
      <c r="A11" s="39">
        <v>44866.0</v>
      </c>
      <c r="B11" s="4" t="s">
        <v>53</v>
      </c>
      <c r="C11" s="60">
        <v>3.32</v>
      </c>
      <c r="E11" s="1" t="s">
        <v>164</v>
      </c>
      <c r="F11" s="48">
        <f>SUMIF(B:B,"Cigs",C:C)</f>
        <v>0</v>
      </c>
      <c r="N11" s="39">
        <v>44875.0</v>
      </c>
      <c r="O11" s="40">
        <f t="shared" si="2"/>
        <v>44.27</v>
      </c>
      <c r="P11" s="5">
        <f t="shared" si="3"/>
        <v>355.65</v>
      </c>
    </row>
    <row r="12">
      <c r="A12" s="39">
        <v>44867.0</v>
      </c>
      <c r="B12" s="4" t="s">
        <v>64</v>
      </c>
      <c r="C12" s="60">
        <v>80.0</v>
      </c>
      <c r="E12" s="1" t="s">
        <v>73</v>
      </c>
      <c r="F12" s="5">
        <f>SUMIF(B:B,"Uber",C:C)</f>
        <v>11.08</v>
      </c>
      <c r="N12" s="39">
        <v>44876.0</v>
      </c>
      <c r="O12" s="40">
        <f t="shared" si="2"/>
        <v>34.25</v>
      </c>
      <c r="P12" s="5">
        <f t="shared" si="3"/>
        <v>389.9</v>
      </c>
    </row>
    <row r="13">
      <c r="A13" s="39">
        <v>44867.0</v>
      </c>
      <c r="B13" s="4" t="s">
        <v>52</v>
      </c>
      <c r="C13" s="60">
        <v>12.27</v>
      </c>
      <c r="N13" s="39">
        <v>44877.0</v>
      </c>
      <c r="O13" s="40">
        <f t="shared" si="2"/>
        <v>3.25</v>
      </c>
      <c r="P13" s="5">
        <f t="shared" si="3"/>
        <v>393.15</v>
      </c>
    </row>
    <row r="14">
      <c r="A14" s="39">
        <v>44867.0</v>
      </c>
      <c r="B14" s="4" t="s">
        <v>45</v>
      </c>
      <c r="C14" s="60">
        <v>4.95</v>
      </c>
      <c r="H14" s="19"/>
      <c r="N14" s="39">
        <v>44878.0</v>
      </c>
      <c r="O14" s="40">
        <f t="shared" si="2"/>
        <v>4.75</v>
      </c>
      <c r="P14" s="5">
        <f t="shared" si="3"/>
        <v>397.9</v>
      </c>
    </row>
    <row r="15">
      <c r="A15" s="39">
        <v>44867.0</v>
      </c>
      <c r="B15" s="4" t="s">
        <v>45</v>
      </c>
      <c r="C15" s="60">
        <v>4.95</v>
      </c>
      <c r="H15" s="19"/>
      <c r="N15" s="39">
        <v>44879.0</v>
      </c>
      <c r="O15" s="40">
        <f t="shared" si="2"/>
        <v>19.83</v>
      </c>
      <c r="P15" s="5">
        <f t="shared" si="3"/>
        <v>417.73</v>
      </c>
    </row>
    <row r="16">
      <c r="A16" s="39">
        <v>44867.0</v>
      </c>
      <c r="B16" s="4" t="s">
        <v>127</v>
      </c>
      <c r="C16" s="60">
        <v>3.2</v>
      </c>
      <c r="H16" s="19"/>
      <c r="N16" s="39">
        <v>44880.0</v>
      </c>
      <c r="O16" s="40">
        <f t="shared" si="2"/>
        <v>1071.67</v>
      </c>
      <c r="P16" s="5">
        <f t="shared" si="3"/>
        <v>1489.4</v>
      </c>
    </row>
    <row r="17">
      <c r="A17" s="39">
        <v>44868.0</v>
      </c>
      <c r="B17" s="4" t="s">
        <v>127</v>
      </c>
      <c r="C17" s="60">
        <v>5.2</v>
      </c>
      <c r="H17" s="19"/>
      <c r="N17" s="39">
        <v>44881.0</v>
      </c>
      <c r="O17" s="40">
        <f t="shared" si="2"/>
        <v>3.68</v>
      </c>
      <c r="P17" s="5">
        <f t="shared" si="3"/>
        <v>1493.08</v>
      </c>
    </row>
    <row r="18">
      <c r="A18" s="39">
        <v>44868.0</v>
      </c>
      <c r="B18" s="4" t="s">
        <v>53</v>
      </c>
      <c r="C18" s="60">
        <v>6.06</v>
      </c>
      <c r="H18" s="19"/>
      <c r="N18" s="39">
        <v>44882.0</v>
      </c>
      <c r="O18" s="40">
        <f t="shared" si="2"/>
        <v>117.65</v>
      </c>
      <c r="P18" s="5">
        <f t="shared" si="3"/>
        <v>1610.73</v>
      </c>
    </row>
    <row r="19">
      <c r="A19" s="39">
        <v>44869.0</v>
      </c>
      <c r="B19" s="4" t="s">
        <v>47</v>
      </c>
      <c r="C19" s="60">
        <v>3.5</v>
      </c>
      <c r="H19" s="19"/>
      <c r="N19" s="39">
        <v>44883.0</v>
      </c>
      <c r="O19" s="40">
        <f t="shared" si="2"/>
        <v>16.7</v>
      </c>
      <c r="P19" s="5">
        <f t="shared" si="3"/>
        <v>1627.43</v>
      </c>
    </row>
    <row r="20">
      <c r="A20" s="39">
        <v>44869.0</v>
      </c>
      <c r="B20" s="4" t="s">
        <v>62</v>
      </c>
      <c r="C20" s="60">
        <v>1.45</v>
      </c>
      <c r="H20" s="19"/>
      <c r="N20" s="39">
        <v>44884.0</v>
      </c>
      <c r="O20" s="40">
        <f t="shared" si="2"/>
        <v>36.25</v>
      </c>
      <c r="P20" s="5">
        <f t="shared" si="3"/>
        <v>1663.68</v>
      </c>
    </row>
    <row r="21">
      <c r="A21" s="39">
        <v>44869.0</v>
      </c>
      <c r="B21" s="4" t="s">
        <v>532</v>
      </c>
      <c r="C21" s="60">
        <v>2.9</v>
      </c>
      <c r="E21" s="19"/>
      <c r="F21" s="5"/>
      <c r="H21" s="19"/>
      <c r="N21" s="39">
        <v>44885.0</v>
      </c>
      <c r="O21" s="40">
        <f t="shared" si="2"/>
        <v>5</v>
      </c>
      <c r="P21" s="5">
        <f t="shared" si="3"/>
        <v>1668.68</v>
      </c>
    </row>
    <row r="22">
      <c r="A22" s="39">
        <v>44869.0</v>
      </c>
      <c r="B22" s="4" t="s">
        <v>210</v>
      </c>
      <c r="C22" s="60">
        <f>59.4+29.25-40</f>
        <v>48.65</v>
      </c>
      <c r="E22" s="19"/>
      <c r="F22" s="5"/>
      <c r="H22" s="19"/>
      <c r="N22" s="39">
        <v>44886.0</v>
      </c>
      <c r="O22" s="40">
        <f t="shared" si="2"/>
        <v>33.34</v>
      </c>
      <c r="P22" s="5">
        <f t="shared" si="3"/>
        <v>1702.02</v>
      </c>
    </row>
    <row r="23">
      <c r="A23" s="39">
        <v>44870.0</v>
      </c>
      <c r="B23" s="4" t="s">
        <v>127</v>
      </c>
      <c r="C23" s="60">
        <v>1.65</v>
      </c>
      <c r="E23" s="19"/>
      <c r="F23" s="5"/>
      <c r="H23" s="19"/>
      <c r="N23" s="39">
        <v>44887.0</v>
      </c>
      <c r="O23" s="5">
        <f>sumif(A:A,N23,C:C)-I2</f>
        <v>93.75</v>
      </c>
      <c r="P23" s="5">
        <f t="shared" si="3"/>
        <v>1795.77</v>
      </c>
    </row>
    <row r="24">
      <c r="A24" s="39">
        <v>44870.0</v>
      </c>
      <c r="B24" s="4" t="s">
        <v>533</v>
      </c>
      <c r="C24" s="60">
        <v>6.0</v>
      </c>
      <c r="E24" s="19"/>
      <c r="F24" s="5"/>
      <c r="H24" s="19"/>
      <c r="N24" s="39">
        <v>44888.0</v>
      </c>
      <c r="O24" s="40">
        <f t="shared" ref="O24:O31" si="5">sumif(A:A,N24,C:C)</f>
        <v>13.75</v>
      </c>
      <c r="P24" s="5">
        <f t="shared" si="3"/>
        <v>1809.52</v>
      </c>
    </row>
    <row r="25">
      <c r="A25" s="39">
        <v>44870.0</v>
      </c>
      <c r="B25" s="4" t="s">
        <v>47</v>
      </c>
      <c r="C25" s="60">
        <v>14.04</v>
      </c>
      <c r="E25" s="19"/>
      <c r="F25" s="5"/>
      <c r="H25" s="19"/>
      <c r="N25" s="39">
        <v>44889.0</v>
      </c>
      <c r="O25" s="40">
        <f t="shared" si="5"/>
        <v>13.7</v>
      </c>
      <c r="P25" s="5">
        <f t="shared" si="3"/>
        <v>1823.22</v>
      </c>
    </row>
    <row r="26">
      <c r="A26" s="39">
        <v>44870.0</v>
      </c>
      <c r="B26" s="4" t="s">
        <v>127</v>
      </c>
      <c r="C26" s="60">
        <v>2.6</v>
      </c>
      <c r="E26" s="19"/>
      <c r="F26" s="5"/>
      <c r="H26" s="19"/>
      <c r="N26" s="39">
        <v>44890.0</v>
      </c>
      <c r="O26" s="40">
        <f t="shared" si="5"/>
        <v>60.45</v>
      </c>
      <c r="P26" s="5">
        <f t="shared" si="3"/>
        <v>1883.67</v>
      </c>
    </row>
    <row r="27">
      <c r="A27" s="39">
        <v>44871.0</v>
      </c>
      <c r="B27" s="4" t="s">
        <v>47</v>
      </c>
      <c r="C27" s="60">
        <v>10.9</v>
      </c>
      <c r="E27" s="19"/>
      <c r="F27" s="5"/>
      <c r="H27" s="19"/>
      <c r="N27" s="39">
        <v>44891.0</v>
      </c>
      <c r="O27" s="40">
        <f t="shared" si="5"/>
        <v>34.56</v>
      </c>
      <c r="P27" s="5">
        <f t="shared" si="3"/>
        <v>1918.23</v>
      </c>
    </row>
    <row r="28">
      <c r="A28" s="39">
        <v>44871.0</v>
      </c>
      <c r="B28" s="4" t="s">
        <v>119</v>
      </c>
      <c r="C28" s="60">
        <v>3.99</v>
      </c>
      <c r="E28" s="19"/>
      <c r="F28" s="5"/>
      <c r="H28" s="19"/>
      <c r="N28" s="39">
        <v>44892.0</v>
      </c>
      <c r="O28" s="40">
        <f t="shared" si="5"/>
        <v>24.34</v>
      </c>
      <c r="P28" s="5">
        <f t="shared" si="3"/>
        <v>1942.57</v>
      </c>
    </row>
    <row r="29">
      <c r="A29" s="39">
        <v>44872.0</v>
      </c>
      <c r="B29" s="4" t="s">
        <v>53</v>
      </c>
      <c r="C29" s="60">
        <v>8.07</v>
      </c>
      <c r="E29" s="19"/>
      <c r="F29" s="5"/>
      <c r="H29" s="19"/>
      <c r="N29" s="39">
        <v>44893.0</v>
      </c>
      <c r="O29" s="40">
        <f t="shared" si="5"/>
        <v>16.98</v>
      </c>
      <c r="P29" s="5">
        <f t="shared" si="3"/>
        <v>1959.55</v>
      </c>
    </row>
    <row r="30">
      <c r="A30" s="39">
        <v>44873.0</v>
      </c>
      <c r="B30" s="4" t="s">
        <v>279</v>
      </c>
      <c r="C30" s="60">
        <v>3.49</v>
      </c>
      <c r="E30" s="19"/>
      <c r="F30" s="5"/>
      <c r="H30" s="19"/>
      <c r="N30" s="39">
        <v>44894.0</v>
      </c>
      <c r="O30" s="40">
        <f t="shared" si="5"/>
        <v>17.71</v>
      </c>
      <c r="P30" s="5">
        <f t="shared" si="3"/>
        <v>1977.26</v>
      </c>
    </row>
    <row r="31">
      <c r="A31" s="39">
        <v>44874.0</v>
      </c>
      <c r="B31" s="4" t="s">
        <v>513</v>
      </c>
      <c r="C31" s="60">
        <v>20.22</v>
      </c>
      <c r="E31" s="19"/>
      <c r="F31" s="5"/>
      <c r="H31" s="19"/>
      <c r="N31" s="39">
        <v>44895.0</v>
      </c>
      <c r="O31" s="40">
        <f t="shared" si="5"/>
        <v>0</v>
      </c>
      <c r="P31" s="5">
        <f t="shared" si="3"/>
        <v>1977.26</v>
      </c>
    </row>
    <row r="32">
      <c r="A32" s="39">
        <v>44874.0</v>
      </c>
      <c r="B32" s="4" t="s">
        <v>59</v>
      </c>
      <c r="C32" s="60">
        <v>14.21</v>
      </c>
      <c r="E32" s="19"/>
      <c r="F32" s="5"/>
      <c r="H32" s="19"/>
      <c r="N32" s="39"/>
    </row>
    <row r="33">
      <c r="A33" s="39">
        <v>44874.0</v>
      </c>
      <c r="B33" s="4" t="s">
        <v>45</v>
      </c>
      <c r="C33" s="60">
        <v>10.62</v>
      </c>
      <c r="E33" s="19"/>
      <c r="F33" s="5"/>
      <c r="H33" s="19"/>
      <c r="N33" s="39"/>
    </row>
    <row r="34">
      <c r="A34" s="39">
        <v>44875.0</v>
      </c>
      <c r="B34" s="4" t="s">
        <v>127</v>
      </c>
      <c r="C34" s="60">
        <v>5.2</v>
      </c>
      <c r="E34" s="19"/>
      <c r="F34" s="5"/>
      <c r="H34" s="19"/>
    </row>
    <row r="35">
      <c r="A35" s="39">
        <v>44875.0</v>
      </c>
      <c r="B35" s="4" t="s">
        <v>53</v>
      </c>
      <c r="C35" s="60">
        <v>4.08</v>
      </c>
      <c r="E35" s="19"/>
      <c r="F35" s="5"/>
      <c r="H35" s="19"/>
    </row>
    <row r="36">
      <c r="A36" s="39">
        <v>44876.0</v>
      </c>
      <c r="B36" s="4" t="s">
        <v>62</v>
      </c>
      <c r="C36" s="60">
        <v>6.1</v>
      </c>
      <c r="E36" s="19"/>
      <c r="F36" s="5"/>
      <c r="H36" s="19"/>
    </row>
    <row r="37">
      <c r="A37" s="39">
        <v>44876.0</v>
      </c>
      <c r="B37" s="4" t="s">
        <v>62</v>
      </c>
      <c r="C37" s="60">
        <v>3.65</v>
      </c>
      <c r="E37" s="19"/>
      <c r="F37" s="5"/>
      <c r="H37" s="19"/>
    </row>
    <row r="38">
      <c r="A38" s="39">
        <v>44877.0</v>
      </c>
      <c r="B38" s="4" t="s">
        <v>127</v>
      </c>
      <c r="C38" s="60">
        <v>3.25</v>
      </c>
      <c r="E38" s="19"/>
      <c r="F38" s="5"/>
      <c r="H38" s="19"/>
    </row>
    <row r="39">
      <c r="A39" s="39">
        <v>44876.0</v>
      </c>
      <c r="B39" s="4" t="s">
        <v>517</v>
      </c>
      <c r="C39" s="60">
        <v>10.27</v>
      </c>
      <c r="E39" s="19"/>
      <c r="F39" s="5"/>
      <c r="H39" s="19"/>
    </row>
    <row r="40">
      <c r="A40" s="39">
        <v>44876.0</v>
      </c>
      <c r="B40" s="4" t="s">
        <v>308</v>
      </c>
      <c r="C40" s="60">
        <v>3.15</v>
      </c>
      <c r="E40" s="19"/>
      <c r="F40" s="5"/>
      <c r="H40" s="19"/>
    </row>
    <row r="41">
      <c r="A41" s="39">
        <v>44876.0</v>
      </c>
      <c r="B41" s="4" t="s">
        <v>73</v>
      </c>
      <c r="C41" s="60">
        <v>11.08</v>
      </c>
      <c r="E41" s="19"/>
      <c r="F41" s="5"/>
      <c r="H41" s="19"/>
    </row>
    <row r="42">
      <c r="A42" s="39">
        <v>44875.0</v>
      </c>
      <c r="B42" s="4" t="s">
        <v>230</v>
      </c>
      <c r="C42" s="60">
        <v>34.99</v>
      </c>
      <c r="E42" s="19"/>
      <c r="F42" s="5"/>
      <c r="H42" s="19"/>
    </row>
    <row r="43">
      <c r="A43" s="39">
        <v>44878.0</v>
      </c>
      <c r="B43" s="4" t="s">
        <v>230</v>
      </c>
      <c r="C43" s="60">
        <v>4.75</v>
      </c>
      <c r="E43" s="19"/>
      <c r="F43" s="5"/>
      <c r="H43" s="19"/>
    </row>
    <row r="44">
      <c r="A44" s="39">
        <v>44879.0</v>
      </c>
      <c r="B44" s="4" t="s">
        <v>59</v>
      </c>
      <c r="C44" s="60">
        <v>19.83</v>
      </c>
      <c r="E44" s="19"/>
      <c r="F44" s="5"/>
      <c r="H44" s="19"/>
    </row>
    <row r="45">
      <c r="A45" s="39">
        <v>44880.0</v>
      </c>
      <c r="B45" s="4" t="s">
        <v>47</v>
      </c>
      <c r="C45" s="60">
        <v>2.28</v>
      </c>
      <c r="E45" s="19"/>
      <c r="F45" s="5"/>
      <c r="H45" s="19"/>
    </row>
    <row r="46">
      <c r="A46" s="39">
        <v>44880.0</v>
      </c>
      <c r="B46" s="4" t="s">
        <v>59</v>
      </c>
      <c r="C46" s="60">
        <v>4.4</v>
      </c>
      <c r="E46" s="19"/>
      <c r="F46" s="5"/>
      <c r="H46" s="19"/>
    </row>
    <row r="47">
      <c r="A47" s="39">
        <v>44880.0</v>
      </c>
      <c r="B47" s="4" t="s">
        <v>254</v>
      </c>
      <c r="C47" s="60">
        <v>9.99</v>
      </c>
      <c r="E47" s="19"/>
      <c r="F47" s="5"/>
      <c r="H47" s="19"/>
    </row>
    <row r="48">
      <c r="A48" s="39">
        <v>44881.0</v>
      </c>
      <c r="B48" s="4" t="s">
        <v>47</v>
      </c>
      <c r="C48" s="60">
        <v>1.8</v>
      </c>
      <c r="E48" s="19"/>
      <c r="F48" s="5"/>
      <c r="H48" s="19"/>
    </row>
    <row r="49">
      <c r="A49" s="39">
        <v>44881.0</v>
      </c>
      <c r="B49" s="4" t="s">
        <v>512</v>
      </c>
      <c r="C49" s="60">
        <v>1.88</v>
      </c>
      <c r="E49" s="19"/>
      <c r="F49" s="5"/>
      <c r="H49" s="19"/>
    </row>
    <row r="50">
      <c r="A50" s="39">
        <v>44882.0</v>
      </c>
      <c r="B50" s="4" t="s">
        <v>209</v>
      </c>
      <c r="C50" s="60">
        <v>3.85</v>
      </c>
      <c r="E50" s="19"/>
      <c r="F50" s="5"/>
      <c r="H50" s="19"/>
    </row>
    <row r="51">
      <c r="A51" s="39">
        <v>44882.0</v>
      </c>
      <c r="B51" s="4" t="s">
        <v>534</v>
      </c>
      <c r="C51" s="60">
        <v>96.1</v>
      </c>
      <c r="E51" s="19"/>
      <c r="F51" s="5"/>
      <c r="H51" s="19"/>
    </row>
    <row r="52">
      <c r="A52" s="39">
        <v>44882.0</v>
      </c>
      <c r="B52" s="4" t="s">
        <v>140</v>
      </c>
      <c r="C52" s="60">
        <f>13.2+4.5</f>
        <v>17.7</v>
      </c>
      <c r="E52" s="19"/>
      <c r="F52" s="5"/>
      <c r="H52" s="19"/>
    </row>
    <row r="53">
      <c r="A53" s="39">
        <v>44883.0</v>
      </c>
      <c r="B53" s="4" t="s">
        <v>127</v>
      </c>
      <c r="C53" s="60">
        <v>6.4</v>
      </c>
      <c r="E53" s="19"/>
      <c r="F53" s="5"/>
      <c r="H53" s="19"/>
    </row>
    <row r="54">
      <c r="A54" s="39">
        <v>44883.0</v>
      </c>
      <c r="B54" s="4" t="s">
        <v>209</v>
      </c>
      <c r="C54" s="60">
        <v>10.3</v>
      </c>
      <c r="E54" s="19"/>
      <c r="F54" s="5"/>
      <c r="H54" s="19"/>
    </row>
    <row r="55">
      <c r="A55" s="39">
        <v>44884.0</v>
      </c>
      <c r="B55" s="4" t="s">
        <v>47</v>
      </c>
      <c r="C55" s="60">
        <v>4.55</v>
      </c>
      <c r="E55" s="19"/>
      <c r="F55" s="5"/>
      <c r="H55" s="19"/>
    </row>
    <row r="56">
      <c r="A56" s="39">
        <v>44884.0</v>
      </c>
      <c r="B56" s="4" t="s">
        <v>127</v>
      </c>
      <c r="C56" s="60">
        <v>3.2</v>
      </c>
      <c r="E56" s="19"/>
      <c r="F56" s="5"/>
      <c r="H56" s="19"/>
    </row>
    <row r="57">
      <c r="A57" s="39">
        <v>44884.0</v>
      </c>
      <c r="B57" s="4" t="s">
        <v>45</v>
      </c>
      <c r="C57" s="60">
        <v>12.4</v>
      </c>
      <c r="E57" s="19"/>
      <c r="F57" s="5"/>
      <c r="H57" s="19"/>
    </row>
    <row r="58">
      <c r="A58" s="39">
        <v>44884.0</v>
      </c>
      <c r="B58" s="4" t="s">
        <v>45</v>
      </c>
      <c r="C58" s="60">
        <v>10.1</v>
      </c>
      <c r="E58" s="19"/>
      <c r="F58" s="5"/>
      <c r="H58" s="19"/>
    </row>
    <row r="59">
      <c r="A59" s="39">
        <v>44884.0</v>
      </c>
      <c r="B59" s="4" t="s">
        <v>45</v>
      </c>
      <c r="C59" s="60">
        <v>6.0</v>
      </c>
      <c r="E59" s="19"/>
      <c r="F59" s="5"/>
      <c r="H59" s="19"/>
    </row>
    <row r="60">
      <c r="A60" s="39">
        <v>44885.0</v>
      </c>
      <c r="B60" s="4" t="s">
        <v>535</v>
      </c>
      <c r="C60" s="43">
        <v>5.0</v>
      </c>
      <c r="E60" s="19"/>
      <c r="F60" s="5"/>
      <c r="H60" s="19"/>
    </row>
    <row r="61">
      <c r="A61" s="39">
        <v>44886.0</v>
      </c>
      <c r="B61" s="4" t="s">
        <v>127</v>
      </c>
      <c r="C61" s="60">
        <v>2.9</v>
      </c>
      <c r="E61" s="19"/>
      <c r="F61" s="5"/>
      <c r="H61" s="19"/>
    </row>
    <row r="62">
      <c r="A62" s="39">
        <v>44886.0</v>
      </c>
      <c r="B62" s="4" t="s">
        <v>127</v>
      </c>
      <c r="C62" s="60">
        <v>6.65</v>
      </c>
      <c r="E62" s="19"/>
      <c r="F62" s="5"/>
      <c r="H62" s="19"/>
    </row>
    <row r="63">
      <c r="A63" s="39">
        <v>44886.0</v>
      </c>
      <c r="B63" s="4" t="s">
        <v>47</v>
      </c>
      <c r="C63" s="60">
        <v>23.79</v>
      </c>
      <c r="E63" s="19"/>
      <c r="F63" s="5"/>
      <c r="H63" s="19"/>
    </row>
    <row r="64">
      <c r="A64" s="39">
        <v>44887.0</v>
      </c>
      <c r="B64" s="4" t="s">
        <v>497</v>
      </c>
      <c r="C64" s="60">
        <v>3.99</v>
      </c>
      <c r="E64" s="19"/>
      <c r="F64" s="5"/>
      <c r="H64" s="19"/>
    </row>
    <row r="65">
      <c r="A65" s="39">
        <v>44887.0</v>
      </c>
      <c r="B65" s="4" t="s">
        <v>53</v>
      </c>
      <c r="C65" s="60">
        <v>4.77</v>
      </c>
      <c r="E65" s="19"/>
      <c r="F65" s="5"/>
      <c r="H65" s="19"/>
    </row>
    <row r="66">
      <c r="A66" s="39">
        <v>44888.0</v>
      </c>
      <c r="B66" s="4" t="s">
        <v>209</v>
      </c>
      <c r="C66" s="60">
        <v>3.85</v>
      </c>
      <c r="E66" s="19"/>
      <c r="F66" s="5"/>
      <c r="H66" s="19"/>
    </row>
    <row r="67">
      <c r="A67" s="39">
        <v>44888.0</v>
      </c>
      <c r="B67" s="4" t="s">
        <v>140</v>
      </c>
      <c r="C67" s="60">
        <v>9.9</v>
      </c>
      <c r="E67" s="19"/>
      <c r="F67" s="5"/>
      <c r="H67" s="19"/>
    </row>
    <row r="68">
      <c r="A68" s="39">
        <v>44889.0</v>
      </c>
      <c r="B68" s="4" t="s">
        <v>127</v>
      </c>
      <c r="C68" s="60">
        <v>6.4</v>
      </c>
      <c r="E68" s="19"/>
      <c r="F68" s="5"/>
      <c r="H68" s="19"/>
    </row>
    <row r="69">
      <c r="A69" s="39">
        <v>44889.0</v>
      </c>
      <c r="B69" s="4" t="s">
        <v>140</v>
      </c>
      <c r="C69" s="60">
        <v>4.25</v>
      </c>
      <c r="E69" s="19"/>
      <c r="F69" s="5"/>
      <c r="H69" s="19"/>
    </row>
    <row r="70">
      <c r="A70" s="39">
        <v>44889.0</v>
      </c>
      <c r="B70" s="4" t="s">
        <v>140</v>
      </c>
      <c r="C70" s="60">
        <v>3.05</v>
      </c>
      <c r="E70" s="19"/>
      <c r="F70" s="5"/>
      <c r="H70" s="19"/>
    </row>
    <row r="71">
      <c r="A71" s="39">
        <v>44890.0</v>
      </c>
      <c r="B71" s="4" t="s">
        <v>140</v>
      </c>
      <c r="C71" s="60">
        <v>8.0</v>
      </c>
      <c r="E71" s="19"/>
      <c r="F71" s="5"/>
      <c r="H71" s="19"/>
    </row>
    <row r="72">
      <c r="A72" s="39">
        <v>44890.0</v>
      </c>
      <c r="B72" s="4" t="s">
        <v>127</v>
      </c>
      <c r="C72" s="60">
        <v>8.45</v>
      </c>
      <c r="E72" s="19"/>
      <c r="F72" s="5"/>
      <c r="H72" s="19"/>
    </row>
    <row r="73">
      <c r="A73" s="39">
        <v>44890.0</v>
      </c>
      <c r="B73" s="4" t="s">
        <v>45</v>
      </c>
      <c r="C73" s="60">
        <v>15.7</v>
      </c>
      <c r="E73" s="19"/>
      <c r="F73" s="5"/>
      <c r="H73" s="19"/>
    </row>
    <row r="74">
      <c r="A74" s="39">
        <v>44890.0</v>
      </c>
      <c r="B74" s="4" t="s">
        <v>45</v>
      </c>
      <c r="C74" s="60">
        <v>11.8</v>
      </c>
      <c r="E74" s="19"/>
      <c r="F74" s="5"/>
      <c r="H74" s="19"/>
    </row>
    <row r="75">
      <c r="A75" s="39">
        <v>44890.0</v>
      </c>
      <c r="B75" s="4" t="s">
        <v>45</v>
      </c>
      <c r="C75" s="60">
        <v>16.5</v>
      </c>
      <c r="E75" s="19"/>
      <c r="F75" s="5"/>
      <c r="H75" s="19"/>
    </row>
    <row r="76">
      <c r="A76" s="39">
        <v>44891.0</v>
      </c>
      <c r="B76" s="4" t="s">
        <v>47</v>
      </c>
      <c r="C76" s="60">
        <v>1.3</v>
      </c>
      <c r="E76" s="19"/>
      <c r="F76" s="5"/>
      <c r="H76" s="19"/>
    </row>
    <row r="77">
      <c r="A77" s="39">
        <v>44891.0</v>
      </c>
      <c r="B77" s="4" t="s">
        <v>536</v>
      </c>
      <c r="C77" s="60">
        <v>4.8</v>
      </c>
      <c r="E77" s="19"/>
      <c r="F77" s="5"/>
      <c r="H77" s="19"/>
    </row>
    <row r="78">
      <c r="A78" s="39">
        <v>44891.0</v>
      </c>
      <c r="B78" s="4" t="s">
        <v>528</v>
      </c>
      <c r="C78" s="60">
        <v>23.56</v>
      </c>
      <c r="E78" s="19"/>
      <c r="F78" s="5"/>
      <c r="H78" s="19"/>
    </row>
    <row r="79">
      <c r="A79" s="39">
        <v>44891.0</v>
      </c>
      <c r="B79" s="4" t="s">
        <v>127</v>
      </c>
      <c r="C79" s="60">
        <v>4.9</v>
      </c>
      <c r="E79" s="19"/>
      <c r="F79" s="5"/>
      <c r="H79" s="19"/>
    </row>
    <row r="80">
      <c r="A80" s="39">
        <v>44892.0</v>
      </c>
      <c r="B80" s="4" t="s">
        <v>127</v>
      </c>
      <c r="C80" s="60">
        <v>2.6</v>
      </c>
      <c r="E80" s="19"/>
      <c r="F80" s="5"/>
      <c r="H80" s="19"/>
    </row>
    <row r="81">
      <c r="A81" s="39">
        <v>44892.0</v>
      </c>
      <c r="B81" s="4" t="s">
        <v>358</v>
      </c>
      <c r="C81" s="60">
        <v>5.0</v>
      </c>
      <c r="E81" s="19"/>
      <c r="F81" s="5"/>
      <c r="H81" s="19"/>
    </row>
    <row r="82">
      <c r="A82" s="39">
        <v>44892.0</v>
      </c>
      <c r="B82" s="4" t="s">
        <v>53</v>
      </c>
      <c r="C82" s="60">
        <v>6.28</v>
      </c>
      <c r="E82" s="19"/>
      <c r="F82" s="5"/>
      <c r="H82" s="19"/>
    </row>
    <row r="83">
      <c r="A83" s="39">
        <v>44892.0</v>
      </c>
      <c r="B83" s="4" t="s">
        <v>59</v>
      </c>
      <c r="C83" s="60">
        <v>10.46</v>
      </c>
      <c r="E83" s="19"/>
      <c r="F83" s="5"/>
      <c r="H83" s="19"/>
    </row>
    <row r="84">
      <c r="A84" s="39">
        <v>44893.0</v>
      </c>
      <c r="B84" s="4" t="s">
        <v>47</v>
      </c>
      <c r="C84" s="60">
        <v>10.0</v>
      </c>
      <c r="E84" s="19"/>
      <c r="F84" s="5"/>
      <c r="H84" s="19"/>
    </row>
    <row r="85">
      <c r="A85" s="39">
        <v>44893.0</v>
      </c>
      <c r="B85" s="4" t="s">
        <v>537</v>
      </c>
      <c r="C85" s="60">
        <v>6.98</v>
      </c>
      <c r="E85" s="19"/>
      <c r="F85" s="5"/>
      <c r="H85" s="19"/>
    </row>
    <row r="86">
      <c r="A86" s="39">
        <v>44894.0</v>
      </c>
      <c r="B86" s="4" t="s">
        <v>538</v>
      </c>
      <c r="C86" s="60">
        <v>4.45</v>
      </c>
      <c r="E86" s="19"/>
      <c r="F86" s="5"/>
      <c r="H86" s="19"/>
    </row>
    <row r="87">
      <c r="A87" s="39">
        <v>44894.0</v>
      </c>
      <c r="B87" s="4" t="s">
        <v>517</v>
      </c>
      <c r="C87" s="60">
        <v>13.26</v>
      </c>
      <c r="E87" s="19"/>
      <c r="F87" s="5"/>
      <c r="H87" s="19"/>
    </row>
    <row r="88">
      <c r="A88" s="39"/>
      <c r="C88" s="60"/>
      <c r="E88" s="19"/>
      <c r="F88" s="5"/>
      <c r="H88" s="19"/>
    </row>
    <row r="89">
      <c r="A89" s="39"/>
      <c r="C89" s="60"/>
      <c r="E89" s="19"/>
      <c r="F89" s="5"/>
      <c r="H89" s="19"/>
    </row>
    <row r="90">
      <c r="A90" s="39"/>
      <c r="C90" s="60"/>
      <c r="E90" s="19"/>
      <c r="F90" s="5"/>
      <c r="H90" s="19"/>
    </row>
    <row r="91">
      <c r="A91" s="39"/>
      <c r="C91" s="60"/>
      <c r="E91" s="19"/>
      <c r="F91" s="5"/>
      <c r="H91" s="19"/>
    </row>
    <row r="92">
      <c r="A92" s="39"/>
      <c r="C92" s="60"/>
      <c r="E92" s="19"/>
      <c r="F92" s="5"/>
      <c r="H92" s="19"/>
    </row>
    <row r="93">
      <c r="A93" s="39"/>
      <c r="C93" s="60"/>
      <c r="E93" s="19"/>
      <c r="F93" s="5"/>
      <c r="H93" s="19"/>
    </row>
    <row r="94">
      <c r="A94" s="39"/>
      <c r="C94" s="60"/>
      <c r="E94" s="19"/>
      <c r="F94" s="5"/>
      <c r="H94" s="19"/>
    </row>
    <row r="95">
      <c r="A95" s="39"/>
      <c r="C95" s="60"/>
      <c r="E95" s="19"/>
      <c r="F95" s="5"/>
      <c r="H95" s="19"/>
    </row>
    <row r="96">
      <c r="A96" s="39"/>
      <c r="C96" s="60"/>
      <c r="E96" s="19"/>
      <c r="F96" s="5"/>
      <c r="H96" s="19"/>
    </row>
    <row r="97">
      <c r="A97" s="39"/>
      <c r="C97" s="60"/>
      <c r="E97" s="19"/>
      <c r="F97" s="5"/>
      <c r="H97" s="19"/>
    </row>
    <row r="98">
      <c r="A98" s="39"/>
      <c r="C98" s="60"/>
      <c r="E98" s="19"/>
      <c r="F98" s="5"/>
      <c r="H98" s="19"/>
    </row>
    <row r="99">
      <c r="A99" s="39"/>
      <c r="C99" s="60"/>
      <c r="E99" s="19"/>
      <c r="F99" s="5"/>
      <c r="H99" s="19"/>
    </row>
    <row r="100">
      <c r="A100" s="39"/>
      <c r="C100" s="60"/>
      <c r="E100" s="19"/>
      <c r="F100" s="5"/>
      <c r="H100" s="19"/>
    </row>
    <row r="101">
      <c r="A101" s="44"/>
      <c r="C101" s="61"/>
      <c r="E101" s="19"/>
      <c r="F101" s="5"/>
      <c r="H101" s="19"/>
    </row>
    <row r="102">
      <c r="A102" s="44"/>
      <c r="C102" s="61"/>
      <c r="E102" s="19"/>
      <c r="F102" s="5"/>
      <c r="H102" s="19"/>
    </row>
    <row r="103">
      <c r="A103" s="44"/>
      <c r="C103" s="61"/>
      <c r="E103" s="19"/>
      <c r="F103" s="5"/>
      <c r="H103" s="19"/>
    </row>
    <row r="104">
      <c r="A104" s="44"/>
      <c r="C104" s="61"/>
      <c r="E104" s="19"/>
      <c r="F104" s="5"/>
      <c r="H104" s="19"/>
    </row>
    <row r="105">
      <c r="A105" s="44"/>
      <c r="C105" s="61"/>
      <c r="E105" s="19"/>
      <c r="F105" s="5"/>
      <c r="H105" s="19"/>
    </row>
    <row r="106">
      <c r="A106" s="44"/>
      <c r="C106" s="61"/>
      <c r="E106" s="19"/>
      <c r="F106" s="5"/>
      <c r="H106" s="19"/>
    </row>
    <row r="107">
      <c r="A107" s="44"/>
      <c r="C107" s="61"/>
      <c r="E107" s="19"/>
      <c r="F107" s="5"/>
      <c r="H107" s="19"/>
    </row>
    <row r="108">
      <c r="A108" s="44"/>
      <c r="C108" s="61"/>
      <c r="E108" s="19"/>
      <c r="F108" s="5"/>
      <c r="H108" s="19"/>
    </row>
    <row r="109">
      <c r="A109" s="44"/>
      <c r="C109" s="61"/>
      <c r="E109" s="19"/>
      <c r="F109" s="5"/>
      <c r="H109" s="19"/>
    </row>
    <row r="110">
      <c r="A110" s="44"/>
      <c r="C110" s="61"/>
      <c r="E110" s="19"/>
      <c r="F110" s="5"/>
      <c r="H110" s="19"/>
    </row>
    <row r="111">
      <c r="A111" s="44"/>
      <c r="C111" s="61"/>
      <c r="E111" s="19"/>
      <c r="F111" s="5"/>
      <c r="H111" s="19"/>
    </row>
    <row r="112">
      <c r="A112" s="44"/>
      <c r="C112" s="61"/>
      <c r="E112" s="19"/>
      <c r="F112" s="5"/>
      <c r="H112" s="19"/>
    </row>
    <row r="113">
      <c r="A113" s="44"/>
      <c r="C113" s="61"/>
      <c r="E113" s="19"/>
      <c r="F113" s="5"/>
      <c r="H113" s="19"/>
    </row>
    <row r="114">
      <c r="A114" s="44"/>
      <c r="C114" s="61"/>
      <c r="E114" s="19"/>
      <c r="F114" s="5"/>
      <c r="H114" s="19"/>
    </row>
    <row r="115">
      <c r="A115" s="44"/>
      <c r="C115" s="61"/>
      <c r="E115" s="19"/>
      <c r="F115" s="5"/>
      <c r="H115" s="19"/>
    </row>
    <row r="116">
      <c r="A116" s="44"/>
      <c r="C116" s="61"/>
      <c r="E116" s="19"/>
      <c r="F116" s="5"/>
      <c r="H116" s="19"/>
    </row>
    <row r="117">
      <c r="A117" s="44"/>
      <c r="C117" s="61"/>
      <c r="E117" s="19"/>
      <c r="F117" s="5"/>
      <c r="H117" s="19"/>
    </row>
    <row r="118">
      <c r="A118" s="44"/>
      <c r="C118" s="61"/>
      <c r="E118" s="19"/>
      <c r="F118" s="5"/>
      <c r="H118" s="19"/>
    </row>
    <row r="119">
      <c r="A119" s="44"/>
      <c r="C119" s="61"/>
      <c r="E119" s="19"/>
      <c r="F119" s="5"/>
      <c r="H119" s="19"/>
    </row>
    <row r="120">
      <c r="A120" s="44"/>
      <c r="C120" s="61"/>
      <c r="E120" s="19"/>
      <c r="F120" s="5"/>
      <c r="H120" s="19"/>
    </row>
    <row r="121">
      <c r="A121" s="44"/>
      <c r="C121" s="61"/>
      <c r="E121" s="19"/>
      <c r="F121" s="5"/>
      <c r="H121" s="19"/>
    </row>
    <row r="122">
      <c r="A122" s="44"/>
      <c r="C122" s="61"/>
      <c r="E122" s="19"/>
      <c r="F122" s="5"/>
      <c r="H122" s="19"/>
    </row>
    <row r="123">
      <c r="A123" s="44"/>
      <c r="C123" s="61"/>
      <c r="E123" s="19"/>
      <c r="F123" s="5"/>
      <c r="H123" s="19"/>
    </row>
    <row r="124">
      <c r="A124" s="44"/>
      <c r="C124" s="61"/>
      <c r="E124" s="19"/>
      <c r="F124" s="5"/>
      <c r="H124" s="19"/>
    </row>
    <row r="125">
      <c r="A125" s="44"/>
      <c r="C125" s="61"/>
      <c r="E125" s="19"/>
      <c r="F125" s="5"/>
      <c r="H125" s="19"/>
    </row>
    <row r="126">
      <c r="A126" s="44"/>
      <c r="C126" s="61"/>
      <c r="E126" s="19"/>
      <c r="F126" s="5"/>
      <c r="H126" s="19"/>
    </row>
    <row r="127">
      <c r="A127" s="44"/>
      <c r="C127" s="61"/>
      <c r="E127" s="19"/>
      <c r="F127" s="5"/>
      <c r="H127" s="19"/>
    </row>
    <row r="128">
      <c r="A128" s="44"/>
      <c r="C128" s="61"/>
      <c r="E128" s="19"/>
      <c r="F128" s="5"/>
      <c r="H128" s="19"/>
    </row>
    <row r="129">
      <c r="A129" s="44"/>
      <c r="C129" s="61"/>
      <c r="E129" s="19"/>
      <c r="F129" s="5"/>
      <c r="H129" s="19"/>
    </row>
    <row r="130">
      <c r="A130" s="44"/>
      <c r="C130" s="61"/>
      <c r="E130" s="19"/>
      <c r="F130" s="5"/>
      <c r="H130" s="19"/>
    </row>
    <row r="131">
      <c r="A131" s="44"/>
      <c r="C131" s="61"/>
      <c r="E131" s="19"/>
      <c r="F131" s="5"/>
      <c r="H131" s="19"/>
    </row>
    <row r="132">
      <c r="A132" s="44"/>
      <c r="C132" s="61"/>
      <c r="E132" s="19"/>
      <c r="F132" s="5"/>
      <c r="H132" s="19"/>
    </row>
    <row r="133">
      <c r="A133" s="44"/>
      <c r="C133" s="61"/>
      <c r="E133" s="19"/>
      <c r="F133" s="5"/>
      <c r="H133" s="19"/>
    </row>
    <row r="134">
      <c r="A134" s="44"/>
      <c r="C134" s="61"/>
      <c r="E134" s="19"/>
      <c r="F134" s="5"/>
      <c r="H134" s="19"/>
    </row>
    <row r="135">
      <c r="A135" s="44"/>
      <c r="C135" s="61"/>
      <c r="E135" s="19"/>
      <c r="F135" s="5"/>
      <c r="H135" s="19"/>
    </row>
    <row r="136">
      <c r="A136" s="44"/>
      <c r="C136" s="61"/>
      <c r="E136" s="19"/>
      <c r="F136" s="5"/>
      <c r="H136" s="19"/>
    </row>
    <row r="137">
      <c r="A137" s="44"/>
      <c r="C137" s="61"/>
      <c r="E137" s="19"/>
      <c r="F137" s="5"/>
      <c r="H137" s="19"/>
    </row>
    <row r="138">
      <c r="A138" s="44"/>
      <c r="C138" s="61"/>
      <c r="E138" s="19"/>
      <c r="F138" s="5"/>
      <c r="H138" s="19"/>
    </row>
    <row r="139">
      <c r="A139" s="44"/>
      <c r="C139" s="61"/>
      <c r="E139" s="19"/>
      <c r="F139" s="5"/>
      <c r="H139" s="19"/>
    </row>
    <row r="140">
      <c r="A140" s="44"/>
      <c r="C140" s="61"/>
      <c r="E140" s="19"/>
      <c r="F140" s="5"/>
      <c r="H140" s="19"/>
    </row>
    <row r="141">
      <c r="A141" s="44"/>
      <c r="C141" s="61"/>
      <c r="E141" s="19"/>
      <c r="F141" s="5"/>
      <c r="H141" s="19"/>
    </row>
    <row r="142">
      <c r="A142" s="44"/>
      <c r="C142" s="61"/>
      <c r="E142" s="19"/>
      <c r="F142" s="5"/>
      <c r="H142" s="19"/>
    </row>
    <row r="143">
      <c r="A143" s="44"/>
      <c r="C143" s="61"/>
      <c r="E143" s="19"/>
      <c r="F143" s="5"/>
      <c r="H143" s="19"/>
    </row>
    <row r="144">
      <c r="A144" s="44"/>
      <c r="C144" s="61"/>
      <c r="E144" s="19"/>
      <c r="F144" s="5"/>
      <c r="H144" s="19"/>
    </row>
    <row r="145">
      <c r="A145" s="44"/>
      <c r="C145" s="61"/>
      <c r="E145" s="19"/>
      <c r="F145" s="5"/>
      <c r="H145" s="19"/>
    </row>
    <row r="146">
      <c r="A146" s="44"/>
      <c r="C146" s="61"/>
      <c r="E146" s="19"/>
      <c r="F146" s="5"/>
      <c r="H146" s="19"/>
    </row>
    <row r="147">
      <c r="A147" s="44"/>
      <c r="C147" s="61"/>
      <c r="E147" s="19"/>
      <c r="F147" s="5"/>
      <c r="H147" s="19"/>
    </row>
    <row r="148">
      <c r="A148" s="44"/>
      <c r="C148" s="61"/>
      <c r="E148" s="19"/>
      <c r="F148" s="5"/>
      <c r="H148" s="19"/>
    </row>
    <row r="149">
      <c r="A149" s="44"/>
      <c r="C149" s="61"/>
      <c r="E149" s="19"/>
      <c r="F149" s="5"/>
      <c r="H149" s="19"/>
    </row>
    <row r="150">
      <c r="A150" s="44"/>
      <c r="C150" s="61"/>
      <c r="E150" s="19"/>
      <c r="F150" s="5"/>
      <c r="H150" s="19"/>
    </row>
    <row r="151">
      <c r="A151" s="44"/>
      <c r="C151" s="61"/>
      <c r="E151" s="19"/>
      <c r="F151" s="5"/>
      <c r="H151" s="19"/>
    </row>
    <row r="152">
      <c r="A152" s="44"/>
      <c r="C152" s="61"/>
      <c r="E152" s="19"/>
      <c r="F152" s="5"/>
      <c r="H152" s="19"/>
    </row>
    <row r="153">
      <c r="A153" s="44"/>
      <c r="C153" s="61"/>
      <c r="E153" s="19"/>
      <c r="F153" s="5"/>
      <c r="H153" s="19"/>
    </row>
    <row r="154">
      <c r="A154" s="44"/>
      <c r="C154" s="61"/>
      <c r="E154" s="19"/>
      <c r="F154" s="5"/>
      <c r="H154" s="19"/>
    </row>
    <row r="155">
      <c r="A155" s="44"/>
      <c r="C155" s="61"/>
      <c r="E155" s="19"/>
      <c r="F155" s="5"/>
      <c r="H155" s="19"/>
    </row>
    <row r="156">
      <c r="A156" s="44"/>
      <c r="C156" s="61"/>
      <c r="E156" s="19"/>
      <c r="F156" s="5"/>
      <c r="H156" s="19"/>
    </row>
    <row r="157">
      <c r="A157" s="44"/>
      <c r="C157" s="61"/>
      <c r="E157" s="19"/>
      <c r="F157" s="5"/>
      <c r="H157" s="19"/>
    </row>
    <row r="158">
      <c r="A158" s="44"/>
      <c r="C158" s="61"/>
      <c r="E158" s="19"/>
      <c r="F158" s="5"/>
      <c r="H158" s="19"/>
    </row>
    <row r="159">
      <c r="A159" s="44"/>
      <c r="C159" s="61"/>
      <c r="E159" s="19"/>
      <c r="F159" s="5"/>
      <c r="H159" s="19"/>
    </row>
    <row r="160">
      <c r="A160" s="44"/>
      <c r="C160" s="61"/>
      <c r="E160" s="19"/>
      <c r="F160" s="5"/>
      <c r="H160" s="19"/>
    </row>
    <row r="161">
      <c r="A161" s="44"/>
      <c r="C161" s="61"/>
      <c r="E161" s="19"/>
      <c r="F161" s="5"/>
      <c r="H161" s="19"/>
    </row>
    <row r="162">
      <c r="A162" s="44"/>
      <c r="C162" s="61"/>
      <c r="E162" s="19"/>
      <c r="F162" s="5"/>
      <c r="H162" s="19"/>
    </row>
    <row r="163">
      <c r="A163" s="44"/>
      <c r="C163" s="61"/>
      <c r="E163" s="19"/>
      <c r="F163" s="5"/>
      <c r="H163" s="19"/>
    </row>
    <row r="164">
      <c r="A164" s="44"/>
      <c r="C164" s="61"/>
      <c r="E164" s="19"/>
      <c r="F164" s="5"/>
      <c r="H164" s="19"/>
    </row>
    <row r="165">
      <c r="A165" s="44"/>
      <c r="C165" s="61"/>
      <c r="E165" s="19"/>
      <c r="F165" s="5"/>
      <c r="H165" s="19"/>
    </row>
    <row r="166">
      <c r="A166" s="44"/>
      <c r="C166" s="61"/>
      <c r="E166" s="19"/>
      <c r="F166" s="5"/>
      <c r="H166" s="19"/>
    </row>
    <row r="167">
      <c r="A167" s="44"/>
      <c r="C167" s="61"/>
      <c r="E167" s="19"/>
      <c r="F167" s="5"/>
      <c r="H167" s="19"/>
    </row>
    <row r="168">
      <c r="A168" s="44"/>
      <c r="C168" s="61"/>
      <c r="E168" s="19"/>
      <c r="F168" s="5"/>
      <c r="H168" s="19"/>
    </row>
    <row r="169">
      <c r="A169" s="44"/>
      <c r="C169" s="61"/>
      <c r="E169" s="19"/>
      <c r="F169" s="5"/>
      <c r="H169" s="19"/>
    </row>
    <row r="170">
      <c r="A170" s="44"/>
      <c r="C170" s="61"/>
      <c r="E170" s="19"/>
      <c r="F170" s="5"/>
      <c r="H170" s="19"/>
    </row>
    <row r="171">
      <c r="A171" s="44"/>
      <c r="C171" s="61"/>
      <c r="E171" s="19"/>
      <c r="F171" s="5"/>
      <c r="H171" s="19"/>
    </row>
    <row r="172">
      <c r="A172" s="44"/>
      <c r="C172" s="61"/>
      <c r="E172" s="19"/>
      <c r="F172" s="5"/>
      <c r="H172" s="19"/>
    </row>
    <row r="173">
      <c r="A173" s="44"/>
      <c r="C173" s="61"/>
      <c r="E173" s="19"/>
      <c r="F173" s="5"/>
      <c r="H173" s="19"/>
    </row>
    <row r="174">
      <c r="A174" s="44"/>
      <c r="C174" s="61"/>
      <c r="E174" s="19"/>
      <c r="F174" s="5"/>
      <c r="H174" s="19"/>
    </row>
    <row r="175">
      <c r="A175" s="44"/>
      <c r="C175" s="61"/>
      <c r="E175" s="19"/>
      <c r="F175" s="5"/>
      <c r="H175" s="19"/>
    </row>
    <row r="176">
      <c r="A176" s="44"/>
      <c r="C176" s="61"/>
      <c r="E176" s="19"/>
      <c r="F176" s="5"/>
      <c r="H176" s="19"/>
    </row>
    <row r="177">
      <c r="A177" s="44"/>
      <c r="C177" s="61"/>
      <c r="E177" s="19"/>
      <c r="F177" s="5"/>
      <c r="H177" s="19"/>
    </row>
    <row r="178">
      <c r="A178" s="44"/>
      <c r="C178" s="61"/>
      <c r="E178" s="19"/>
      <c r="F178" s="5"/>
      <c r="H178" s="19"/>
    </row>
    <row r="179">
      <c r="A179" s="44"/>
      <c r="C179" s="61"/>
      <c r="E179" s="19"/>
      <c r="F179" s="5"/>
      <c r="H179" s="19"/>
    </row>
    <row r="180">
      <c r="A180" s="44"/>
      <c r="C180" s="61"/>
      <c r="E180" s="19"/>
      <c r="F180" s="5"/>
      <c r="H180" s="19"/>
    </row>
    <row r="181">
      <c r="A181" s="44"/>
      <c r="C181" s="61"/>
      <c r="E181" s="19"/>
      <c r="F181" s="5"/>
      <c r="H181" s="19"/>
    </row>
    <row r="182">
      <c r="A182" s="44"/>
      <c r="C182" s="61"/>
      <c r="E182" s="19"/>
      <c r="F182" s="5"/>
      <c r="H182" s="19"/>
    </row>
    <row r="183">
      <c r="A183" s="44"/>
      <c r="C183" s="61"/>
      <c r="E183" s="19"/>
      <c r="F183" s="5"/>
      <c r="H183" s="19"/>
    </row>
    <row r="184">
      <c r="A184" s="44"/>
      <c r="C184" s="61"/>
      <c r="E184" s="19"/>
      <c r="F184" s="5"/>
      <c r="H184" s="19"/>
    </row>
    <row r="185">
      <c r="A185" s="44"/>
      <c r="C185" s="61"/>
      <c r="E185" s="19"/>
      <c r="F185" s="5"/>
      <c r="H185" s="19"/>
    </row>
    <row r="186">
      <c r="A186" s="44"/>
      <c r="C186" s="61"/>
      <c r="E186" s="19"/>
      <c r="F186" s="5"/>
      <c r="H186" s="19"/>
    </row>
    <row r="187">
      <c r="A187" s="44"/>
      <c r="C187" s="61"/>
      <c r="E187" s="19"/>
      <c r="F187" s="5"/>
      <c r="H187" s="19"/>
    </row>
    <row r="188">
      <c r="A188" s="44"/>
      <c r="C188" s="61"/>
      <c r="E188" s="19"/>
      <c r="F188" s="5"/>
      <c r="H188" s="19"/>
    </row>
    <row r="189">
      <c r="A189" s="44"/>
      <c r="C189" s="61"/>
      <c r="E189" s="19"/>
      <c r="F189" s="5"/>
      <c r="H189" s="19"/>
    </row>
    <row r="190">
      <c r="A190" s="44"/>
      <c r="C190" s="61"/>
      <c r="E190" s="19"/>
      <c r="F190" s="5"/>
      <c r="H190" s="19"/>
    </row>
    <row r="191">
      <c r="A191" s="44"/>
      <c r="C191" s="61"/>
      <c r="E191" s="19"/>
      <c r="F191" s="5"/>
      <c r="H191" s="19"/>
    </row>
    <row r="192">
      <c r="A192" s="44"/>
      <c r="C192" s="61"/>
      <c r="E192" s="19"/>
      <c r="F192" s="5"/>
      <c r="H192" s="19"/>
    </row>
    <row r="193">
      <c r="A193" s="44"/>
      <c r="C193" s="61"/>
      <c r="E193" s="19"/>
      <c r="F193" s="5"/>
      <c r="H193" s="19"/>
    </row>
    <row r="194">
      <c r="A194" s="44"/>
      <c r="C194" s="61"/>
      <c r="E194" s="19"/>
      <c r="F194" s="5"/>
      <c r="H194" s="19"/>
    </row>
    <row r="195">
      <c r="A195" s="44"/>
      <c r="C195" s="61"/>
      <c r="E195" s="19"/>
      <c r="F195" s="5"/>
      <c r="H195" s="19"/>
    </row>
    <row r="196">
      <c r="A196" s="44"/>
      <c r="C196" s="61"/>
      <c r="E196" s="19"/>
      <c r="F196" s="5"/>
      <c r="H196" s="19"/>
    </row>
    <row r="197">
      <c r="A197" s="44"/>
      <c r="C197" s="61"/>
      <c r="E197" s="19"/>
      <c r="F197" s="5"/>
      <c r="H197" s="19"/>
    </row>
    <row r="198">
      <c r="A198" s="44"/>
      <c r="C198" s="61"/>
      <c r="E198" s="19"/>
      <c r="F198" s="5"/>
      <c r="H198" s="19"/>
    </row>
    <row r="199">
      <c r="A199" s="44"/>
      <c r="C199" s="61"/>
      <c r="E199" s="19"/>
      <c r="F199" s="5"/>
      <c r="H199" s="19"/>
    </row>
    <row r="200">
      <c r="A200" s="44"/>
      <c r="C200" s="61"/>
      <c r="E200" s="19"/>
      <c r="F200" s="5"/>
      <c r="H200" s="19"/>
    </row>
    <row r="201">
      <c r="A201" s="44"/>
      <c r="C201" s="61"/>
      <c r="E201" s="19"/>
      <c r="F201" s="5"/>
      <c r="H201" s="19"/>
    </row>
    <row r="202">
      <c r="A202" s="44"/>
      <c r="C202" s="61"/>
      <c r="E202" s="19"/>
      <c r="F202" s="5"/>
      <c r="H202" s="19"/>
    </row>
    <row r="203">
      <c r="A203" s="44"/>
      <c r="C203" s="61"/>
      <c r="E203" s="19"/>
      <c r="F203" s="5"/>
      <c r="H203" s="19"/>
    </row>
    <row r="204">
      <c r="A204" s="44"/>
      <c r="C204" s="61"/>
      <c r="E204" s="19"/>
      <c r="F204" s="5"/>
      <c r="H204" s="19"/>
    </row>
    <row r="205">
      <c r="A205" s="44"/>
      <c r="C205" s="61"/>
      <c r="E205" s="19"/>
      <c r="F205" s="5"/>
      <c r="H205" s="19"/>
    </row>
    <row r="206">
      <c r="A206" s="44"/>
      <c r="C206" s="61"/>
      <c r="E206" s="19"/>
      <c r="F206" s="5"/>
      <c r="H206" s="19"/>
    </row>
    <row r="207">
      <c r="A207" s="44"/>
      <c r="C207" s="61"/>
      <c r="E207" s="19"/>
      <c r="F207" s="5"/>
      <c r="H207" s="19"/>
    </row>
    <row r="208">
      <c r="A208" s="44"/>
      <c r="C208" s="61"/>
      <c r="E208" s="19"/>
      <c r="F208" s="5"/>
      <c r="H208" s="19"/>
    </row>
    <row r="209">
      <c r="A209" s="44"/>
      <c r="C209" s="61"/>
      <c r="E209" s="19"/>
      <c r="F209" s="5"/>
      <c r="H209" s="19"/>
    </row>
    <row r="210">
      <c r="A210" s="44"/>
      <c r="C210" s="61"/>
      <c r="E210" s="19"/>
      <c r="F210" s="5"/>
      <c r="H210" s="19"/>
    </row>
    <row r="211">
      <c r="A211" s="44"/>
      <c r="C211" s="61"/>
      <c r="E211" s="19"/>
      <c r="F211" s="5"/>
      <c r="H211" s="19"/>
    </row>
    <row r="212">
      <c r="A212" s="44"/>
      <c r="C212" s="61"/>
      <c r="E212" s="19"/>
      <c r="F212" s="5"/>
      <c r="H212" s="19"/>
    </row>
    <row r="213">
      <c r="A213" s="44"/>
      <c r="C213" s="61"/>
      <c r="E213" s="19"/>
      <c r="F213" s="5"/>
      <c r="H213" s="19"/>
    </row>
    <row r="214">
      <c r="A214" s="44"/>
      <c r="C214" s="61"/>
      <c r="E214" s="19"/>
      <c r="F214" s="5"/>
      <c r="H214" s="19"/>
    </row>
    <row r="215">
      <c r="A215" s="44"/>
      <c r="C215" s="61"/>
      <c r="E215" s="19"/>
      <c r="F215" s="5"/>
      <c r="H215" s="19"/>
    </row>
    <row r="216">
      <c r="A216" s="44"/>
      <c r="C216" s="61"/>
      <c r="E216" s="19"/>
      <c r="F216" s="5"/>
      <c r="H216" s="19"/>
    </row>
    <row r="217">
      <c r="A217" s="44"/>
      <c r="C217" s="61"/>
      <c r="E217" s="19"/>
      <c r="F217" s="5"/>
      <c r="H217" s="19"/>
    </row>
    <row r="218">
      <c r="A218" s="44"/>
      <c r="C218" s="61"/>
      <c r="E218" s="19"/>
      <c r="F218" s="5"/>
      <c r="H218" s="19"/>
    </row>
    <row r="219">
      <c r="A219" s="44"/>
      <c r="C219" s="61"/>
      <c r="E219" s="19"/>
      <c r="F219" s="5"/>
      <c r="H219" s="19"/>
    </row>
    <row r="220">
      <c r="A220" s="44"/>
      <c r="C220" s="61"/>
      <c r="E220" s="19"/>
      <c r="F220" s="5"/>
      <c r="H220" s="19"/>
    </row>
    <row r="221">
      <c r="A221" s="44"/>
      <c r="C221" s="61"/>
      <c r="E221" s="19"/>
      <c r="F221" s="5"/>
      <c r="H221" s="19"/>
    </row>
    <row r="222">
      <c r="A222" s="44"/>
      <c r="C222" s="61"/>
      <c r="E222" s="19"/>
      <c r="F222" s="5"/>
      <c r="H222" s="19"/>
    </row>
    <row r="223">
      <c r="A223" s="44"/>
      <c r="C223" s="61"/>
      <c r="E223" s="19"/>
      <c r="F223" s="5"/>
      <c r="H223" s="19"/>
    </row>
    <row r="224">
      <c r="A224" s="44"/>
      <c r="C224" s="61"/>
      <c r="E224" s="19"/>
      <c r="F224" s="5"/>
      <c r="H224" s="19"/>
    </row>
    <row r="225">
      <c r="A225" s="44"/>
      <c r="C225" s="61"/>
      <c r="E225" s="19"/>
      <c r="F225" s="5"/>
      <c r="H225" s="19"/>
    </row>
    <row r="226">
      <c r="A226" s="44"/>
      <c r="C226" s="61"/>
      <c r="E226" s="19"/>
      <c r="F226" s="5"/>
      <c r="H226" s="19"/>
    </row>
    <row r="227">
      <c r="A227" s="44"/>
      <c r="C227" s="61"/>
      <c r="E227" s="19"/>
      <c r="F227" s="5"/>
      <c r="H227" s="19"/>
    </row>
    <row r="228">
      <c r="A228" s="44"/>
      <c r="C228" s="61"/>
      <c r="E228" s="19"/>
      <c r="F228" s="5"/>
      <c r="H228" s="19"/>
    </row>
    <row r="229">
      <c r="A229" s="44"/>
      <c r="C229" s="61"/>
      <c r="E229" s="19"/>
      <c r="F229" s="5"/>
      <c r="H229" s="19"/>
    </row>
    <row r="230">
      <c r="A230" s="44"/>
      <c r="C230" s="61"/>
      <c r="E230" s="19"/>
      <c r="F230" s="5"/>
      <c r="H230" s="19"/>
    </row>
    <row r="231">
      <c r="A231" s="44"/>
      <c r="C231" s="61"/>
      <c r="E231" s="19"/>
      <c r="F231" s="5"/>
      <c r="H231" s="19"/>
    </row>
    <row r="232">
      <c r="A232" s="44"/>
      <c r="C232" s="61"/>
      <c r="E232" s="19"/>
      <c r="F232" s="5"/>
      <c r="H232" s="19"/>
    </row>
    <row r="233">
      <c r="A233" s="44"/>
      <c r="C233" s="61"/>
      <c r="E233" s="19"/>
      <c r="F233" s="5"/>
      <c r="H233" s="19"/>
    </row>
    <row r="234">
      <c r="A234" s="44"/>
      <c r="C234" s="61"/>
      <c r="E234" s="19"/>
      <c r="F234" s="5"/>
      <c r="H234" s="19"/>
    </row>
    <row r="235">
      <c r="A235" s="44"/>
      <c r="C235" s="61"/>
      <c r="E235" s="19"/>
      <c r="F235" s="5"/>
      <c r="H235" s="19"/>
    </row>
    <row r="236">
      <c r="A236" s="44"/>
      <c r="C236" s="61"/>
      <c r="E236" s="19"/>
      <c r="F236" s="5"/>
      <c r="H236" s="19"/>
    </row>
    <row r="237">
      <c r="A237" s="44"/>
      <c r="C237" s="61"/>
      <c r="E237" s="19"/>
      <c r="F237" s="5"/>
      <c r="H237" s="19"/>
    </row>
    <row r="238">
      <c r="A238" s="44"/>
      <c r="C238" s="61"/>
      <c r="E238" s="19"/>
      <c r="F238" s="5"/>
      <c r="H238" s="19"/>
    </row>
    <row r="239">
      <c r="A239" s="44"/>
      <c r="C239" s="61"/>
      <c r="E239" s="19"/>
      <c r="F239" s="5"/>
      <c r="H239" s="19"/>
    </row>
    <row r="240">
      <c r="A240" s="44"/>
      <c r="C240" s="61"/>
      <c r="E240" s="19"/>
      <c r="F240" s="5"/>
      <c r="H240" s="19"/>
    </row>
    <row r="241">
      <c r="A241" s="44"/>
      <c r="C241" s="61"/>
      <c r="E241" s="19"/>
      <c r="F241" s="5"/>
      <c r="H241" s="19"/>
    </row>
    <row r="242">
      <c r="A242" s="44"/>
      <c r="C242" s="61"/>
      <c r="E242" s="19"/>
      <c r="F242" s="5"/>
      <c r="H242" s="19"/>
    </row>
    <row r="243">
      <c r="A243" s="44"/>
      <c r="C243" s="61"/>
      <c r="E243" s="19"/>
      <c r="F243" s="5"/>
      <c r="H243" s="19"/>
    </row>
    <row r="244">
      <c r="A244" s="44"/>
      <c r="C244" s="61"/>
      <c r="E244" s="19"/>
      <c r="F244" s="5"/>
      <c r="H244" s="19"/>
    </row>
    <row r="245">
      <c r="A245" s="44"/>
      <c r="C245" s="61"/>
      <c r="E245" s="19"/>
      <c r="F245" s="5"/>
      <c r="H245" s="19"/>
    </row>
    <row r="246">
      <c r="A246" s="44"/>
      <c r="C246" s="61"/>
      <c r="E246" s="19"/>
      <c r="F246" s="5"/>
      <c r="H246" s="19"/>
    </row>
    <row r="247">
      <c r="A247" s="44"/>
      <c r="C247" s="61"/>
      <c r="E247" s="19"/>
      <c r="F247" s="5"/>
      <c r="H247" s="19"/>
    </row>
    <row r="248">
      <c r="A248" s="44"/>
      <c r="C248" s="61"/>
      <c r="E248" s="19"/>
      <c r="F248" s="5"/>
      <c r="H248" s="19"/>
    </row>
    <row r="249">
      <c r="A249" s="44"/>
      <c r="C249" s="61"/>
      <c r="E249" s="19"/>
      <c r="F249" s="5"/>
      <c r="H249" s="19"/>
    </row>
    <row r="250">
      <c r="A250" s="44"/>
      <c r="C250" s="61"/>
      <c r="E250" s="19"/>
      <c r="F250" s="5"/>
      <c r="H250" s="19"/>
    </row>
    <row r="251">
      <c r="A251" s="44"/>
      <c r="C251" s="61"/>
      <c r="E251" s="19"/>
      <c r="F251" s="5"/>
      <c r="H251" s="19"/>
    </row>
    <row r="252">
      <c r="A252" s="44"/>
      <c r="C252" s="61"/>
      <c r="E252" s="19"/>
      <c r="F252" s="5"/>
      <c r="H252" s="19"/>
    </row>
    <row r="253">
      <c r="A253" s="44"/>
      <c r="C253" s="61"/>
      <c r="E253" s="19"/>
      <c r="F253" s="5"/>
      <c r="H253" s="19"/>
    </row>
    <row r="254">
      <c r="A254" s="44"/>
      <c r="C254" s="61"/>
      <c r="E254" s="19"/>
      <c r="F254" s="5"/>
      <c r="H254" s="19"/>
    </row>
    <row r="255">
      <c r="A255" s="44"/>
      <c r="C255" s="61"/>
      <c r="E255" s="19"/>
      <c r="F255" s="5"/>
      <c r="H255" s="19"/>
    </row>
    <row r="256">
      <c r="A256" s="44"/>
      <c r="C256" s="61"/>
      <c r="E256" s="19"/>
      <c r="F256" s="5"/>
      <c r="H256" s="19"/>
    </row>
    <row r="257">
      <c r="A257" s="44"/>
      <c r="C257" s="61"/>
      <c r="E257" s="19"/>
      <c r="F257" s="5"/>
      <c r="H257" s="19"/>
    </row>
    <row r="258">
      <c r="A258" s="44"/>
      <c r="C258" s="61"/>
      <c r="E258" s="19"/>
      <c r="F258" s="5"/>
      <c r="H258" s="19"/>
    </row>
    <row r="259">
      <c r="A259" s="44"/>
      <c r="C259" s="61"/>
      <c r="E259" s="19"/>
      <c r="F259" s="5"/>
      <c r="H259" s="19"/>
    </row>
    <row r="260">
      <c r="A260" s="44"/>
      <c r="C260" s="61"/>
      <c r="E260" s="19"/>
      <c r="F260" s="5"/>
      <c r="H260" s="19"/>
    </row>
    <row r="261">
      <c r="A261" s="44"/>
      <c r="C261" s="61"/>
      <c r="E261" s="19"/>
      <c r="F261" s="5"/>
      <c r="H261" s="19"/>
    </row>
    <row r="262">
      <c r="A262" s="44"/>
      <c r="C262" s="61"/>
      <c r="E262" s="19"/>
      <c r="F262" s="5"/>
      <c r="H262" s="19"/>
    </row>
    <row r="263">
      <c r="A263" s="44"/>
      <c r="C263" s="61"/>
      <c r="E263" s="19"/>
      <c r="F263" s="5"/>
      <c r="H263" s="19"/>
    </row>
    <row r="264">
      <c r="A264" s="44"/>
      <c r="C264" s="61"/>
      <c r="E264" s="19"/>
      <c r="F264" s="5"/>
      <c r="H264" s="19"/>
    </row>
    <row r="265">
      <c r="A265" s="44"/>
      <c r="C265" s="61"/>
      <c r="E265" s="19"/>
      <c r="F265" s="5"/>
      <c r="H265" s="19"/>
    </row>
    <row r="266">
      <c r="A266" s="44"/>
      <c r="C266" s="61"/>
      <c r="E266" s="19"/>
      <c r="F266" s="5"/>
      <c r="H266" s="19"/>
    </row>
    <row r="267">
      <c r="A267" s="44"/>
      <c r="C267" s="61"/>
      <c r="E267" s="19"/>
      <c r="F267" s="5"/>
      <c r="H267" s="19"/>
    </row>
    <row r="268">
      <c r="A268" s="44"/>
      <c r="C268" s="61"/>
      <c r="E268" s="19"/>
      <c r="F268" s="5"/>
      <c r="H268" s="19"/>
    </row>
    <row r="269">
      <c r="A269" s="44"/>
      <c r="C269" s="61"/>
      <c r="E269" s="19"/>
      <c r="F269" s="5"/>
      <c r="H269" s="19"/>
    </row>
    <row r="270">
      <c r="A270" s="44"/>
      <c r="C270" s="61"/>
      <c r="E270" s="19"/>
      <c r="F270" s="5"/>
      <c r="H270" s="19"/>
    </row>
    <row r="271">
      <c r="A271" s="44"/>
      <c r="C271" s="61"/>
      <c r="E271" s="19"/>
      <c r="F271" s="5"/>
      <c r="H271" s="19"/>
    </row>
    <row r="272">
      <c r="A272" s="44"/>
      <c r="C272" s="61"/>
      <c r="E272" s="19"/>
      <c r="F272" s="5"/>
      <c r="H272" s="19"/>
    </row>
    <row r="273">
      <c r="A273" s="44"/>
      <c r="C273" s="61"/>
      <c r="E273" s="19"/>
      <c r="F273" s="5"/>
      <c r="H273" s="19"/>
    </row>
    <row r="274">
      <c r="A274" s="44"/>
      <c r="C274" s="61"/>
      <c r="E274" s="19"/>
      <c r="F274" s="5"/>
      <c r="H274" s="19"/>
    </row>
    <row r="275">
      <c r="A275" s="44"/>
      <c r="C275" s="61"/>
      <c r="E275" s="19"/>
      <c r="F275" s="5"/>
      <c r="H275" s="19"/>
    </row>
    <row r="276">
      <c r="A276" s="44"/>
      <c r="C276" s="61"/>
      <c r="E276" s="19"/>
      <c r="F276" s="5"/>
      <c r="H276" s="19"/>
    </row>
    <row r="277">
      <c r="A277" s="44"/>
      <c r="C277" s="61"/>
      <c r="E277" s="19"/>
      <c r="F277" s="5"/>
      <c r="H277" s="19"/>
    </row>
    <row r="278">
      <c r="A278" s="44"/>
      <c r="C278" s="61"/>
      <c r="E278" s="19"/>
      <c r="F278" s="5"/>
      <c r="H278" s="19"/>
    </row>
    <row r="279">
      <c r="A279" s="44"/>
      <c r="C279" s="61"/>
      <c r="E279" s="19"/>
      <c r="F279" s="5"/>
      <c r="H279" s="19"/>
    </row>
    <row r="280">
      <c r="A280" s="44"/>
      <c r="C280" s="61"/>
      <c r="E280" s="19"/>
      <c r="F280" s="5"/>
      <c r="H280" s="19"/>
    </row>
    <row r="281">
      <c r="A281" s="44"/>
      <c r="C281" s="61"/>
      <c r="E281" s="19"/>
      <c r="F281" s="5"/>
      <c r="H281" s="19"/>
    </row>
    <row r="282">
      <c r="A282" s="44"/>
      <c r="C282" s="61"/>
      <c r="E282" s="19"/>
      <c r="F282" s="5"/>
      <c r="H282" s="19"/>
    </row>
    <row r="283">
      <c r="A283" s="44"/>
      <c r="C283" s="61"/>
      <c r="E283" s="19"/>
      <c r="F283" s="5"/>
      <c r="H283" s="19"/>
    </row>
    <row r="284">
      <c r="A284" s="44"/>
      <c r="C284" s="61"/>
      <c r="E284" s="19"/>
      <c r="F284" s="5"/>
      <c r="H284" s="19"/>
    </row>
    <row r="285">
      <c r="A285" s="44"/>
      <c r="C285" s="61"/>
      <c r="E285" s="19"/>
      <c r="F285" s="5"/>
      <c r="H285" s="19"/>
    </row>
    <row r="286">
      <c r="A286" s="44"/>
      <c r="C286" s="61"/>
      <c r="E286" s="19"/>
      <c r="F286" s="5"/>
      <c r="H286" s="19"/>
    </row>
    <row r="287">
      <c r="A287" s="44"/>
      <c r="C287" s="61"/>
      <c r="E287" s="19"/>
      <c r="F287" s="5"/>
      <c r="H287" s="19"/>
    </row>
    <row r="288">
      <c r="A288" s="44"/>
      <c r="C288" s="61"/>
      <c r="E288" s="19"/>
      <c r="F288" s="5"/>
      <c r="H288" s="19"/>
    </row>
    <row r="289">
      <c r="A289" s="44"/>
      <c r="C289" s="61"/>
      <c r="E289" s="19"/>
      <c r="F289" s="5"/>
      <c r="H289" s="19"/>
    </row>
    <row r="290">
      <c r="A290" s="44"/>
      <c r="C290" s="61"/>
      <c r="E290" s="19"/>
      <c r="F290" s="5"/>
      <c r="H290" s="19"/>
    </row>
    <row r="291">
      <c r="A291" s="44"/>
      <c r="C291" s="61"/>
      <c r="E291" s="19"/>
      <c r="F291" s="5"/>
      <c r="H291" s="19"/>
    </row>
    <row r="292">
      <c r="A292" s="44"/>
      <c r="C292" s="61"/>
      <c r="E292" s="19"/>
      <c r="F292" s="5"/>
      <c r="H292" s="19"/>
    </row>
    <row r="293">
      <c r="A293" s="44"/>
      <c r="C293" s="61"/>
      <c r="E293" s="19"/>
      <c r="F293" s="5"/>
      <c r="H293" s="19"/>
    </row>
    <row r="294">
      <c r="A294" s="44"/>
      <c r="C294" s="61"/>
      <c r="E294" s="19"/>
      <c r="F294" s="5"/>
      <c r="H294" s="19"/>
    </row>
    <row r="295">
      <c r="A295" s="44"/>
      <c r="C295" s="61"/>
      <c r="E295" s="19"/>
      <c r="F295" s="5"/>
      <c r="H295" s="19"/>
    </row>
    <row r="296">
      <c r="A296" s="44"/>
      <c r="C296" s="61"/>
      <c r="E296" s="19"/>
      <c r="F296" s="5"/>
      <c r="H296" s="19"/>
    </row>
    <row r="297">
      <c r="A297" s="44"/>
      <c r="C297" s="61"/>
      <c r="E297" s="19"/>
      <c r="F297" s="5"/>
      <c r="H297" s="19"/>
    </row>
    <row r="298">
      <c r="A298" s="44"/>
      <c r="C298" s="61"/>
      <c r="E298" s="19"/>
      <c r="F298" s="5"/>
      <c r="H298" s="19"/>
    </row>
    <row r="299">
      <c r="A299" s="44"/>
      <c r="C299" s="61"/>
      <c r="E299" s="19"/>
      <c r="F299" s="5"/>
      <c r="H299" s="19"/>
    </row>
    <row r="300">
      <c r="A300" s="44"/>
      <c r="C300" s="61"/>
      <c r="E300" s="19"/>
      <c r="F300" s="5"/>
      <c r="H300" s="19"/>
    </row>
    <row r="301">
      <c r="A301" s="44"/>
      <c r="C301" s="61"/>
      <c r="E301" s="19"/>
      <c r="F301" s="5"/>
      <c r="H301" s="19"/>
    </row>
    <row r="302">
      <c r="A302" s="44"/>
      <c r="C302" s="61"/>
      <c r="E302" s="19"/>
      <c r="F302" s="5"/>
      <c r="H302" s="19"/>
    </row>
    <row r="303">
      <c r="A303" s="44"/>
      <c r="C303" s="61"/>
      <c r="E303" s="19"/>
      <c r="F303" s="5"/>
      <c r="H303" s="19"/>
    </row>
    <row r="304">
      <c r="A304" s="44"/>
      <c r="C304" s="61"/>
      <c r="E304" s="19"/>
      <c r="F304" s="5"/>
      <c r="H304" s="19"/>
    </row>
    <row r="305">
      <c r="A305" s="44"/>
      <c r="C305" s="61"/>
      <c r="E305" s="19"/>
      <c r="F305" s="5"/>
      <c r="H305" s="19"/>
    </row>
    <row r="306">
      <c r="A306" s="44"/>
      <c r="C306" s="61"/>
      <c r="E306" s="19"/>
      <c r="F306" s="5"/>
      <c r="H306" s="19"/>
    </row>
    <row r="307">
      <c r="A307" s="44"/>
      <c r="C307" s="61"/>
      <c r="E307" s="19"/>
      <c r="F307" s="5"/>
      <c r="H307" s="19"/>
    </row>
    <row r="308">
      <c r="A308" s="44"/>
      <c r="C308" s="61"/>
      <c r="E308" s="19"/>
      <c r="F308" s="5"/>
      <c r="H308" s="19"/>
    </row>
    <row r="309">
      <c r="A309" s="44"/>
      <c r="C309" s="61"/>
      <c r="E309" s="19"/>
      <c r="F309" s="5"/>
      <c r="H309" s="19"/>
    </row>
    <row r="310">
      <c r="A310" s="44"/>
      <c r="C310" s="61"/>
      <c r="E310" s="19"/>
      <c r="F310" s="5"/>
      <c r="H310" s="19"/>
    </row>
    <row r="311">
      <c r="A311" s="44"/>
      <c r="C311" s="61"/>
      <c r="E311" s="19"/>
      <c r="F311" s="5"/>
      <c r="H311" s="19"/>
    </row>
    <row r="312">
      <c r="A312" s="44"/>
      <c r="C312" s="61"/>
      <c r="E312" s="19"/>
      <c r="F312" s="5"/>
      <c r="H312" s="19"/>
    </row>
    <row r="313">
      <c r="A313" s="44"/>
      <c r="C313" s="61"/>
      <c r="E313" s="19"/>
      <c r="F313" s="5"/>
      <c r="H313" s="19"/>
    </row>
    <row r="314">
      <c r="A314" s="44"/>
      <c r="C314" s="61"/>
      <c r="E314" s="19"/>
      <c r="F314" s="5"/>
      <c r="H314" s="19"/>
    </row>
    <row r="315">
      <c r="A315" s="44"/>
      <c r="C315" s="61"/>
      <c r="E315" s="19"/>
      <c r="F315" s="5"/>
      <c r="H315" s="19"/>
    </row>
    <row r="316">
      <c r="A316" s="44"/>
      <c r="C316" s="61"/>
      <c r="E316" s="19"/>
      <c r="F316" s="5"/>
      <c r="H316" s="19"/>
    </row>
    <row r="317">
      <c r="A317" s="44"/>
      <c r="C317" s="61"/>
      <c r="E317" s="19"/>
      <c r="F317" s="5"/>
      <c r="H317" s="19"/>
    </row>
    <row r="318">
      <c r="A318" s="44"/>
      <c r="C318" s="61"/>
      <c r="E318" s="19"/>
      <c r="F318" s="5"/>
      <c r="H318" s="19"/>
    </row>
    <row r="319">
      <c r="A319" s="44"/>
      <c r="C319" s="61"/>
      <c r="E319" s="19"/>
      <c r="F319" s="5"/>
      <c r="H319" s="19"/>
    </row>
    <row r="320">
      <c r="A320" s="44"/>
      <c r="C320" s="61"/>
      <c r="E320" s="19"/>
      <c r="F320" s="5"/>
      <c r="H320" s="19"/>
    </row>
    <row r="321">
      <c r="A321" s="44"/>
      <c r="C321" s="61"/>
      <c r="E321" s="19"/>
      <c r="F321" s="5"/>
      <c r="H321" s="19"/>
    </row>
    <row r="322">
      <c r="A322" s="44"/>
      <c r="C322" s="61"/>
      <c r="E322" s="19"/>
      <c r="F322" s="5"/>
      <c r="H322" s="19"/>
    </row>
    <row r="323">
      <c r="A323" s="44"/>
      <c r="C323" s="61"/>
      <c r="E323" s="19"/>
      <c r="F323" s="5"/>
      <c r="H323" s="19"/>
    </row>
    <row r="324">
      <c r="A324" s="44"/>
      <c r="C324" s="61"/>
      <c r="E324" s="19"/>
      <c r="F324" s="5"/>
      <c r="H324" s="19"/>
    </row>
    <row r="325">
      <c r="A325" s="44"/>
      <c r="C325" s="61"/>
      <c r="E325" s="19"/>
      <c r="F325" s="5"/>
      <c r="H325" s="19"/>
    </row>
    <row r="326">
      <c r="A326" s="44"/>
      <c r="C326" s="61"/>
      <c r="E326" s="19"/>
      <c r="F326" s="5"/>
      <c r="H326" s="19"/>
    </row>
    <row r="327">
      <c r="A327" s="44"/>
      <c r="C327" s="61"/>
      <c r="E327" s="19"/>
      <c r="F327" s="5"/>
      <c r="H327" s="19"/>
    </row>
    <row r="328">
      <c r="A328" s="44"/>
      <c r="C328" s="61"/>
      <c r="E328" s="19"/>
      <c r="F328" s="5"/>
      <c r="H328" s="19"/>
    </row>
    <row r="329">
      <c r="A329" s="44"/>
      <c r="C329" s="61"/>
      <c r="E329" s="19"/>
      <c r="F329" s="5"/>
      <c r="H329" s="19"/>
    </row>
    <row r="330">
      <c r="A330" s="44"/>
      <c r="C330" s="61"/>
      <c r="E330" s="19"/>
      <c r="F330" s="5"/>
      <c r="H330" s="19"/>
    </row>
    <row r="331">
      <c r="A331" s="44"/>
      <c r="C331" s="61"/>
      <c r="E331" s="19"/>
      <c r="F331" s="5"/>
      <c r="H331" s="19"/>
    </row>
    <row r="332">
      <c r="A332" s="44"/>
      <c r="C332" s="61"/>
      <c r="E332" s="19"/>
      <c r="F332" s="5"/>
      <c r="H332" s="19"/>
    </row>
    <row r="333">
      <c r="A333" s="44"/>
      <c r="C333" s="61"/>
      <c r="E333" s="19"/>
      <c r="F333" s="5"/>
      <c r="H333" s="19"/>
    </row>
    <row r="334">
      <c r="A334" s="44"/>
      <c r="C334" s="61"/>
      <c r="E334" s="19"/>
      <c r="F334" s="5"/>
      <c r="H334" s="19"/>
    </row>
    <row r="335">
      <c r="A335" s="44"/>
      <c r="C335" s="61"/>
      <c r="E335" s="19"/>
      <c r="F335" s="5"/>
      <c r="H335" s="19"/>
    </row>
    <row r="336">
      <c r="A336" s="44"/>
      <c r="C336" s="61"/>
      <c r="E336" s="19"/>
      <c r="F336" s="5"/>
      <c r="H336" s="19"/>
    </row>
    <row r="337">
      <c r="A337" s="44"/>
      <c r="C337" s="61"/>
      <c r="E337" s="19"/>
      <c r="F337" s="5"/>
      <c r="H337" s="19"/>
    </row>
    <row r="338">
      <c r="A338" s="44"/>
      <c r="C338" s="61"/>
      <c r="E338" s="19"/>
      <c r="F338" s="5"/>
      <c r="H338" s="19"/>
    </row>
    <row r="339">
      <c r="A339" s="44"/>
      <c r="C339" s="61"/>
      <c r="E339" s="19"/>
      <c r="F339" s="5"/>
      <c r="H339" s="19"/>
    </row>
    <row r="340">
      <c r="A340" s="44"/>
      <c r="C340" s="61"/>
      <c r="E340" s="19"/>
      <c r="F340" s="5"/>
      <c r="H340" s="19"/>
    </row>
    <row r="341">
      <c r="A341" s="44"/>
      <c r="C341" s="61"/>
      <c r="E341" s="19"/>
      <c r="F341" s="5"/>
      <c r="H341" s="19"/>
    </row>
    <row r="342">
      <c r="A342" s="44"/>
      <c r="C342" s="61"/>
      <c r="E342" s="19"/>
      <c r="F342" s="5"/>
      <c r="H342" s="19"/>
    </row>
    <row r="343">
      <c r="A343" s="44"/>
      <c r="C343" s="61"/>
      <c r="E343" s="19"/>
      <c r="F343" s="5"/>
      <c r="H343" s="19"/>
    </row>
    <row r="344">
      <c r="A344" s="44"/>
      <c r="C344" s="61"/>
      <c r="E344" s="19"/>
      <c r="F344" s="5"/>
      <c r="H344" s="19"/>
    </row>
    <row r="345">
      <c r="A345" s="44"/>
      <c r="C345" s="61"/>
      <c r="E345" s="19"/>
      <c r="F345" s="5"/>
      <c r="H345" s="19"/>
    </row>
    <row r="346">
      <c r="A346" s="44"/>
      <c r="C346" s="61"/>
      <c r="E346" s="19"/>
      <c r="F346" s="5"/>
      <c r="H346" s="19"/>
    </row>
    <row r="347">
      <c r="A347" s="44"/>
      <c r="C347" s="61"/>
      <c r="E347" s="19"/>
      <c r="F347" s="5"/>
      <c r="H347" s="19"/>
    </row>
    <row r="348">
      <c r="A348" s="44"/>
      <c r="C348" s="61"/>
      <c r="E348" s="19"/>
      <c r="F348" s="5"/>
      <c r="H348" s="19"/>
    </row>
    <row r="349">
      <c r="A349" s="44"/>
      <c r="C349" s="61"/>
      <c r="E349" s="19"/>
      <c r="F349" s="5"/>
      <c r="H349" s="19"/>
    </row>
    <row r="350">
      <c r="A350" s="44"/>
      <c r="C350" s="61"/>
      <c r="E350" s="19"/>
      <c r="F350" s="5"/>
      <c r="H350" s="19"/>
    </row>
    <row r="351">
      <c r="A351" s="44"/>
      <c r="C351" s="61"/>
      <c r="E351" s="19"/>
      <c r="F351" s="5"/>
      <c r="H351" s="19"/>
    </row>
    <row r="352">
      <c r="A352" s="44"/>
      <c r="C352" s="61"/>
      <c r="E352" s="19"/>
      <c r="F352" s="5"/>
      <c r="H352" s="19"/>
    </row>
    <row r="353">
      <c r="A353" s="44"/>
      <c r="C353" s="61"/>
      <c r="E353" s="19"/>
      <c r="F353" s="5"/>
      <c r="H353" s="19"/>
    </row>
    <row r="354">
      <c r="A354" s="44"/>
      <c r="C354" s="61"/>
      <c r="E354" s="19"/>
      <c r="F354" s="5"/>
      <c r="H354" s="19"/>
    </row>
    <row r="355">
      <c r="A355" s="44"/>
      <c r="C355" s="61"/>
      <c r="E355" s="19"/>
      <c r="F355" s="5"/>
      <c r="H355" s="19"/>
    </row>
    <row r="356">
      <c r="A356" s="44"/>
      <c r="C356" s="61"/>
      <c r="E356" s="19"/>
      <c r="F356" s="5"/>
      <c r="H356" s="19"/>
    </row>
    <row r="357">
      <c r="A357" s="44"/>
      <c r="C357" s="61"/>
      <c r="E357" s="19"/>
      <c r="F357" s="5"/>
      <c r="H357" s="19"/>
    </row>
    <row r="358">
      <c r="A358" s="44"/>
      <c r="C358" s="61"/>
      <c r="E358" s="19"/>
      <c r="F358" s="5"/>
      <c r="H358" s="19"/>
    </row>
    <row r="359">
      <c r="A359" s="44"/>
      <c r="C359" s="61"/>
      <c r="E359" s="19"/>
      <c r="F359" s="5"/>
      <c r="H359" s="19"/>
    </row>
    <row r="360">
      <c r="A360" s="44"/>
      <c r="C360" s="61"/>
      <c r="E360" s="19"/>
      <c r="F360" s="5"/>
      <c r="H360" s="19"/>
    </row>
    <row r="361">
      <c r="A361" s="44"/>
      <c r="C361" s="61"/>
      <c r="E361" s="19"/>
      <c r="F361" s="5"/>
      <c r="H361" s="19"/>
    </row>
    <row r="362">
      <c r="A362" s="44"/>
      <c r="C362" s="61"/>
      <c r="E362" s="19"/>
      <c r="F362" s="5"/>
      <c r="H362" s="19"/>
    </row>
    <row r="363">
      <c r="A363" s="44"/>
      <c r="C363" s="61"/>
      <c r="E363" s="19"/>
      <c r="F363" s="5"/>
      <c r="H363" s="19"/>
    </row>
    <row r="364">
      <c r="A364" s="44"/>
      <c r="C364" s="61"/>
      <c r="E364" s="19"/>
      <c r="F364" s="5"/>
      <c r="H364" s="19"/>
    </row>
    <row r="365">
      <c r="A365" s="44"/>
      <c r="C365" s="61"/>
      <c r="E365" s="19"/>
      <c r="F365" s="5"/>
      <c r="H365" s="19"/>
    </row>
    <row r="366">
      <c r="A366" s="44"/>
      <c r="C366" s="61"/>
      <c r="E366" s="19"/>
      <c r="F366" s="5"/>
      <c r="H366" s="19"/>
    </row>
    <row r="367">
      <c r="A367" s="44"/>
      <c r="C367" s="61"/>
      <c r="E367" s="19"/>
      <c r="F367" s="5"/>
      <c r="H367" s="19"/>
    </row>
    <row r="368">
      <c r="A368" s="44"/>
      <c r="C368" s="61"/>
      <c r="E368" s="19"/>
      <c r="F368" s="5"/>
      <c r="H368" s="19"/>
    </row>
    <row r="369">
      <c r="A369" s="44"/>
      <c r="C369" s="61"/>
      <c r="E369" s="19"/>
      <c r="F369" s="5"/>
      <c r="H369" s="19"/>
    </row>
    <row r="370">
      <c r="A370" s="44"/>
      <c r="C370" s="61"/>
      <c r="E370" s="19"/>
      <c r="F370" s="5"/>
      <c r="H370" s="19"/>
    </row>
    <row r="371">
      <c r="A371" s="44"/>
      <c r="C371" s="61"/>
      <c r="E371" s="19"/>
      <c r="F371" s="5"/>
      <c r="H371" s="19"/>
    </row>
    <row r="372">
      <c r="A372" s="44"/>
      <c r="C372" s="61"/>
      <c r="E372" s="19"/>
      <c r="F372" s="5"/>
      <c r="H372" s="19"/>
    </row>
    <row r="373">
      <c r="A373" s="44"/>
      <c r="C373" s="61"/>
      <c r="E373" s="19"/>
      <c r="F373" s="5"/>
      <c r="H373" s="19"/>
    </row>
    <row r="374">
      <c r="A374" s="44"/>
      <c r="C374" s="61"/>
      <c r="E374" s="19"/>
      <c r="F374" s="5"/>
      <c r="H374" s="19"/>
    </row>
    <row r="375">
      <c r="A375" s="44"/>
      <c r="C375" s="61"/>
      <c r="E375" s="19"/>
      <c r="F375" s="5"/>
      <c r="H375" s="19"/>
    </row>
    <row r="376">
      <c r="A376" s="44"/>
      <c r="C376" s="61"/>
      <c r="E376" s="19"/>
      <c r="F376" s="5"/>
      <c r="H376" s="19"/>
    </row>
    <row r="377">
      <c r="A377" s="44"/>
      <c r="C377" s="61"/>
      <c r="E377" s="19"/>
      <c r="F377" s="5"/>
      <c r="H377" s="19"/>
    </row>
    <row r="378">
      <c r="A378" s="44"/>
      <c r="C378" s="61"/>
      <c r="E378" s="19"/>
      <c r="F378" s="5"/>
      <c r="H378" s="19"/>
    </row>
    <row r="379">
      <c r="A379" s="44"/>
      <c r="C379" s="61"/>
      <c r="E379" s="19"/>
      <c r="F379" s="5"/>
      <c r="H379" s="19"/>
    </row>
    <row r="380">
      <c r="A380" s="44"/>
      <c r="C380" s="61"/>
      <c r="E380" s="19"/>
      <c r="F380" s="5"/>
      <c r="H380" s="19"/>
    </row>
    <row r="381">
      <c r="A381" s="44"/>
      <c r="C381" s="61"/>
      <c r="E381" s="19"/>
      <c r="F381" s="5"/>
      <c r="H381" s="19"/>
    </row>
    <row r="382">
      <c r="A382" s="44"/>
      <c r="C382" s="61"/>
      <c r="E382" s="19"/>
      <c r="F382" s="5"/>
      <c r="H382" s="19"/>
    </row>
    <row r="383">
      <c r="A383" s="44"/>
      <c r="C383" s="61"/>
      <c r="E383" s="19"/>
      <c r="F383" s="5"/>
      <c r="H383" s="19"/>
    </row>
    <row r="384">
      <c r="A384" s="44"/>
      <c r="C384" s="61"/>
      <c r="E384" s="19"/>
      <c r="F384" s="5"/>
      <c r="H384" s="19"/>
    </row>
    <row r="385">
      <c r="A385" s="44"/>
      <c r="C385" s="61"/>
      <c r="E385" s="19"/>
      <c r="F385" s="5"/>
      <c r="H385" s="19"/>
    </row>
    <row r="386">
      <c r="A386" s="44"/>
      <c r="C386" s="61"/>
      <c r="E386" s="19"/>
      <c r="F386" s="5"/>
      <c r="H386" s="19"/>
    </row>
    <row r="387">
      <c r="A387" s="44"/>
      <c r="C387" s="61"/>
      <c r="E387" s="19"/>
      <c r="F387" s="5"/>
      <c r="H387" s="19"/>
    </row>
    <row r="388">
      <c r="A388" s="44"/>
      <c r="C388" s="61"/>
      <c r="E388" s="19"/>
      <c r="F388" s="5"/>
      <c r="H388" s="19"/>
    </row>
    <row r="389">
      <c r="A389" s="44"/>
      <c r="C389" s="61"/>
      <c r="E389" s="19"/>
      <c r="F389" s="5"/>
      <c r="H389" s="19"/>
    </row>
    <row r="390">
      <c r="A390" s="44"/>
      <c r="C390" s="61"/>
      <c r="E390" s="19"/>
      <c r="F390" s="5"/>
      <c r="H390" s="19"/>
    </row>
    <row r="391">
      <c r="A391" s="44"/>
      <c r="C391" s="61"/>
      <c r="E391" s="19"/>
      <c r="F391" s="5"/>
      <c r="H391" s="19"/>
    </row>
    <row r="392">
      <c r="A392" s="44"/>
      <c r="C392" s="61"/>
      <c r="E392" s="19"/>
      <c r="F392" s="5"/>
      <c r="H392" s="19"/>
    </row>
    <row r="393">
      <c r="A393" s="44"/>
      <c r="C393" s="61"/>
      <c r="E393" s="19"/>
      <c r="F393" s="5"/>
      <c r="H393" s="19"/>
    </row>
    <row r="394">
      <c r="A394" s="44"/>
      <c r="C394" s="61"/>
      <c r="E394" s="19"/>
      <c r="F394" s="5"/>
      <c r="H394" s="19"/>
    </row>
    <row r="395">
      <c r="A395" s="44"/>
      <c r="C395" s="61"/>
      <c r="E395" s="19"/>
      <c r="F395" s="5"/>
      <c r="H395" s="19"/>
    </row>
    <row r="396">
      <c r="A396" s="44"/>
      <c r="C396" s="61"/>
      <c r="E396" s="19"/>
      <c r="F396" s="5"/>
      <c r="H396" s="19"/>
    </row>
    <row r="397">
      <c r="A397" s="44"/>
      <c r="C397" s="61"/>
      <c r="E397" s="19"/>
      <c r="F397" s="5"/>
      <c r="H397" s="19"/>
    </row>
    <row r="398">
      <c r="A398" s="44"/>
      <c r="C398" s="61"/>
      <c r="E398" s="19"/>
      <c r="F398" s="5"/>
      <c r="H398" s="19"/>
    </row>
    <row r="399">
      <c r="A399" s="44"/>
      <c r="C399" s="61"/>
      <c r="E399" s="19"/>
      <c r="F399" s="5"/>
      <c r="H399" s="19"/>
    </row>
    <row r="400">
      <c r="A400" s="44"/>
      <c r="C400" s="61"/>
      <c r="E400" s="19"/>
      <c r="F400" s="5"/>
      <c r="H400" s="19"/>
    </row>
    <row r="401">
      <c r="A401" s="44"/>
      <c r="C401" s="61"/>
      <c r="E401" s="19"/>
      <c r="F401" s="5"/>
      <c r="H401" s="19"/>
    </row>
    <row r="402">
      <c r="A402" s="44"/>
      <c r="C402" s="61"/>
      <c r="E402" s="19"/>
      <c r="F402" s="5"/>
      <c r="H402" s="19"/>
    </row>
    <row r="403">
      <c r="A403" s="44"/>
      <c r="C403" s="61"/>
      <c r="E403" s="19"/>
      <c r="F403" s="5"/>
      <c r="H403" s="19"/>
    </row>
    <row r="404">
      <c r="A404" s="44"/>
      <c r="C404" s="61"/>
      <c r="E404" s="19"/>
      <c r="F404" s="5"/>
      <c r="H404" s="19"/>
    </row>
    <row r="405">
      <c r="A405" s="44"/>
      <c r="C405" s="61"/>
      <c r="E405" s="19"/>
      <c r="F405" s="5"/>
      <c r="H405" s="19"/>
    </row>
    <row r="406">
      <c r="A406" s="44"/>
      <c r="C406" s="61"/>
      <c r="E406" s="19"/>
      <c r="F406" s="5"/>
      <c r="H406" s="19"/>
    </row>
    <row r="407">
      <c r="A407" s="44"/>
      <c r="C407" s="61"/>
      <c r="E407" s="19"/>
      <c r="F407" s="5"/>
      <c r="H407" s="19"/>
    </row>
    <row r="408">
      <c r="A408" s="44"/>
      <c r="C408" s="61"/>
      <c r="E408" s="19"/>
      <c r="F408" s="5"/>
      <c r="H408" s="19"/>
    </row>
    <row r="409">
      <c r="A409" s="44"/>
      <c r="C409" s="61"/>
      <c r="E409" s="19"/>
      <c r="F409" s="5"/>
      <c r="H409" s="19"/>
    </row>
    <row r="410">
      <c r="A410" s="44"/>
      <c r="C410" s="61"/>
      <c r="E410" s="19"/>
      <c r="F410" s="5"/>
      <c r="H410" s="19"/>
    </row>
    <row r="411">
      <c r="A411" s="44"/>
      <c r="C411" s="61"/>
      <c r="E411" s="19"/>
      <c r="F411" s="5"/>
      <c r="H411" s="19"/>
    </row>
    <row r="412">
      <c r="A412" s="44"/>
      <c r="C412" s="61"/>
      <c r="E412" s="19"/>
      <c r="F412" s="5"/>
      <c r="H412" s="19"/>
    </row>
    <row r="413">
      <c r="A413" s="44"/>
      <c r="C413" s="61"/>
      <c r="E413" s="19"/>
      <c r="F413" s="5"/>
      <c r="H413" s="19"/>
    </row>
    <row r="414">
      <c r="A414" s="44"/>
      <c r="C414" s="61"/>
      <c r="E414" s="19"/>
      <c r="F414" s="5"/>
      <c r="H414" s="19"/>
    </row>
    <row r="415">
      <c r="A415" s="44"/>
      <c r="C415" s="61"/>
      <c r="E415" s="19"/>
      <c r="F415" s="5"/>
      <c r="H415" s="19"/>
    </row>
    <row r="416">
      <c r="A416" s="44"/>
      <c r="C416" s="61"/>
      <c r="E416" s="19"/>
      <c r="F416" s="5"/>
      <c r="H416" s="19"/>
    </row>
    <row r="417">
      <c r="A417" s="44"/>
      <c r="C417" s="61"/>
      <c r="E417" s="19"/>
      <c r="F417" s="5"/>
      <c r="H417" s="19"/>
    </row>
    <row r="418">
      <c r="A418" s="44"/>
      <c r="C418" s="61"/>
      <c r="E418" s="19"/>
      <c r="F418" s="5"/>
      <c r="H418" s="19"/>
    </row>
    <row r="419">
      <c r="A419" s="44"/>
      <c r="C419" s="61"/>
      <c r="E419" s="19"/>
      <c r="F419" s="5"/>
      <c r="H419" s="19"/>
    </row>
    <row r="420">
      <c r="A420" s="44"/>
      <c r="C420" s="61"/>
      <c r="E420" s="19"/>
      <c r="F420" s="5"/>
      <c r="H420" s="19"/>
    </row>
    <row r="421">
      <c r="A421" s="44"/>
      <c r="C421" s="61"/>
      <c r="E421" s="19"/>
      <c r="F421" s="5"/>
      <c r="H421" s="19"/>
    </row>
    <row r="422">
      <c r="A422" s="44"/>
      <c r="C422" s="61"/>
      <c r="E422" s="19"/>
      <c r="F422" s="5"/>
      <c r="H422" s="19"/>
    </row>
    <row r="423">
      <c r="A423" s="44"/>
      <c r="C423" s="61"/>
      <c r="E423" s="19"/>
      <c r="F423" s="5"/>
      <c r="H423" s="19"/>
    </row>
    <row r="424">
      <c r="A424" s="44"/>
      <c r="C424" s="61"/>
      <c r="E424" s="19"/>
      <c r="F424" s="5"/>
      <c r="H424" s="19"/>
    </row>
    <row r="425">
      <c r="A425" s="44"/>
      <c r="C425" s="61"/>
      <c r="E425" s="19"/>
      <c r="F425" s="5"/>
      <c r="H425" s="19"/>
    </row>
    <row r="426">
      <c r="A426" s="44"/>
      <c r="C426" s="61"/>
      <c r="E426" s="19"/>
      <c r="F426" s="5"/>
      <c r="H426" s="19"/>
    </row>
    <row r="427">
      <c r="A427" s="44"/>
      <c r="C427" s="61"/>
      <c r="E427" s="19"/>
      <c r="F427" s="5"/>
      <c r="H427" s="19"/>
    </row>
    <row r="428">
      <c r="A428" s="44"/>
      <c r="C428" s="61"/>
      <c r="E428" s="19"/>
      <c r="F428" s="5"/>
      <c r="H428" s="19"/>
    </row>
    <row r="429">
      <c r="A429" s="44"/>
      <c r="C429" s="61"/>
      <c r="E429" s="19"/>
      <c r="F429" s="5"/>
      <c r="H429" s="19"/>
    </row>
    <row r="430">
      <c r="A430" s="44"/>
      <c r="C430" s="61"/>
      <c r="E430" s="19"/>
      <c r="F430" s="5"/>
      <c r="H430" s="19"/>
    </row>
    <row r="431">
      <c r="A431" s="44"/>
      <c r="C431" s="61"/>
      <c r="E431" s="19"/>
      <c r="F431" s="5"/>
      <c r="H431" s="19"/>
    </row>
    <row r="432">
      <c r="A432" s="44"/>
      <c r="C432" s="61"/>
      <c r="E432" s="19"/>
      <c r="F432" s="5"/>
      <c r="H432" s="19"/>
    </row>
    <row r="433">
      <c r="A433" s="44"/>
      <c r="C433" s="61"/>
      <c r="E433" s="19"/>
      <c r="F433" s="5"/>
      <c r="H433" s="19"/>
    </row>
    <row r="434">
      <c r="A434" s="44"/>
      <c r="C434" s="61"/>
      <c r="E434" s="19"/>
      <c r="F434" s="5"/>
      <c r="H434" s="19"/>
    </row>
    <row r="435">
      <c r="A435" s="44"/>
      <c r="C435" s="61"/>
      <c r="E435" s="19"/>
      <c r="F435" s="5"/>
      <c r="H435" s="19"/>
    </row>
    <row r="436">
      <c r="A436" s="44"/>
      <c r="C436" s="61"/>
      <c r="E436" s="19"/>
      <c r="F436" s="5"/>
      <c r="H436" s="19"/>
    </row>
    <row r="437">
      <c r="A437" s="44"/>
      <c r="C437" s="61"/>
      <c r="E437" s="19"/>
      <c r="F437" s="5"/>
      <c r="H437" s="19"/>
    </row>
    <row r="438">
      <c r="A438" s="44"/>
      <c r="C438" s="61"/>
      <c r="E438" s="19"/>
      <c r="F438" s="5"/>
      <c r="H438" s="19"/>
    </row>
    <row r="439">
      <c r="A439" s="44"/>
      <c r="C439" s="61"/>
      <c r="E439" s="19"/>
      <c r="F439" s="5"/>
      <c r="H439" s="19"/>
    </row>
    <row r="440">
      <c r="A440" s="44"/>
      <c r="C440" s="61"/>
      <c r="E440" s="19"/>
      <c r="F440" s="5"/>
      <c r="H440" s="19"/>
    </row>
    <row r="441">
      <c r="A441" s="44"/>
      <c r="C441" s="61"/>
      <c r="E441" s="19"/>
      <c r="F441" s="5"/>
      <c r="H441" s="19"/>
    </row>
    <row r="442">
      <c r="A442" s="44"/>
      <c r="C442" s="61"/>
      <c r="E442" s="19"/>
      <c r="F442" s="5"/>
      <c r="H442" s="19"/>
    </row>
    <row r="443">
      <c r="A443" s="44"/>
      <c r="C443" s="61"/>
      <c r="E443" s="19"/>
      <c r="F443" s="5"/>
      <c r="H443" s="19"/>
    </row>
    <row r="444">
      <c r="A444" s="44"/>
      <c r="C444" s="61"/>
      <c r="E444" s="19"/>
      <c r="F444" s="5"/>
      <c r="H444" s="19"/>
    </row>
    <row r="445">
      <c r="A445" s="44"/>
      <c r="C445" s="61"/>
      <c r="E445" s="19"/>
      <c r="F445" s="5"/>
      <c r="H445" s="19"/>
    </row>
    <row r="446">
      <c r="A446" s="44"/>
      <c r="C446" s="61"/>
      <c r="E446" s="19"/>
      <c r="F446" s="5"/>
      <c r="H446" s="19"/>
    </row>
    <row r="447">
      <c r="A447" s="44"/>
      <c r="C447" s="61"/>
      <c r="E447" s="19"/>
      <c r="F447" s="5"/>
      <c r="H447" s="19"/>
    </row>
    <row r="448">
      <c r="A448" s="44"/>
      <c r="C448" s="61"/>
      <c r="E448" s="19"/>
      <c r="F448" s="5"/>
      <c r="H448" s="19"/>
    </row>
    <row r="449">
      <c r="A449" s="44"/>
      <c r="C449" s="61"/>
      <c r="E449" s="19"/>
      <c r="F449" s="5"/>
      <c r="H449" s="19"/>
    </row>
    <row r="450">
      <c r="A450" s="44"/>
      <c r="C450" s="61"/>
      <c r="E450" s="19"/>
      <c r="F450" s="5"/>
      <c r="H450" s="19"/>
    </row>
    <row r="451">
      <c r="A451" s="44"/>
      <c r="C451" s="61"/>
      <c r="E451" s="19"/>
      <c r="F451" s="5"/>
      <c r="H451" s="19"/>
    </row>
    <row r="452">
      <c r="A452" s="44"/>
      <c r="C452" s="61"/>
      <c r="E452" s="19"/>
      <c r="F452" s="5"/>
      <c r="H452" s="19"/>
    </row>
    <row r="453">
      <c r="A453" s="44"/>
      <c r="C453" s="61"/>
      <c r="E453" s="19"/>
      <c r="F453" s="5"/>
      <c r="H453" s="19"/>
    </row>
    <row r="454">
      <c r="A454" s="44"/>
      <c r="C454" s="61"/>
      <c r="E454" s="19"/>
      <c r="F454" s="5"/>
      <c r="H454" s="19"/>
    </row>
    <row r="455">
      <c r="A455" s="44"/>
      <c r="C455" s="61"/>
      <c r="E455" s="19"/>
      <c r="F455" s="5"/>
      <c r="H455" s="19"/>
    </row>
    <row r="456">
      <c r="A456" s="44"/>
      <c r="C456" s="61"/>
      <c r="E456" s="19"/>
      <c r="F456" s="5"/>
      <c r="H456" s="19"/>
    </row>
    <row r="457">
      <c r="A457" s="44"/>
      <c r="C457" s="61"/>
      <c r="E457" s="19"/>
      <c r="F457" s="5"/>
      <c r="H457" s="19"/>
    </row>
    <row r="458">
      <c r="A458" s="44"/>
      <c r="C458" s="61"/>
      <c r="E458" s="19"/>
      <c r="F458" s="5"/>
      <c r="H458" s="19"/>
    </row>
    <row r="459">
      <c r="A459" s="44"/>
      <c r="C459" s="61"/>
      <c r="E459" s="19"/>
      <c r="F459" s="5"/>
      <c r="H459" s="19"/>
    </row>
    <row r="460">
      <c r="A460" s="44"/>
      <c r="C460" s="61"/>
      <c r="E460" s="19"/>
      <c r="F460" s="5"/>
      <c r="H460" s="19"/>
    </row>
    <row r="461">
      <c r="A461" s="44"/>
      <c r="C461" s="61"/>
      <c r="E461" s="19"/>
      <c r="F461" s="5"/>
      <c r="H461" s="19"/>
    </row>
    <row r="462">
      <c r="A462" s="44"/>
      <c r="C462" s="61"/>
      <c r="E462" s="19"/>
      <c r="F462" s="5"/>
      <c r="H462" s="19"/>
    </row>
    <row r="463">
      <c r="A463" s="44"/>
      <c r="C463" s="61"/>
      <c r="E463" s="19"/>
      <c r="F463" s="5"/>
      <c r="H463" s="19"/>
    </row>
    <row r="464">
      <c r="A464" s="44"/>
      <c r="C464" s="61"/>
      <c r="E464" s="19"/>
      <c r="F464" s="5"/>
      <c r="H464" s="19"/>
    </row>
    <row r="465">
      <c r="A465" s="44"/>
      <c r="C465" s="61"/>
      <c r="E465" s="19"/>
      <c r="F465" s="5"/>
      <c r="H465" s="19"/>
    </row>
    <row r="466">
      <c r="A466" s="44"/>
      <c r="C466" s="61"/>
      <c r="E466" s="19"/>
      <c r="F466" s="5"/>
      <c r="H466" s="19"/>
    </row>
    <row r="467">
      <c r="A467" s="44"/>
      <c r="C467" s="61"/>
      <c r="E467" s="19"/>
      <c r="F467" s="5"/>
      <c r="H467" s="19"/>
    </row>
    <row r="468">
      <c r="A468" s="44"/>
      <c r="C468" s="61"/>
      <c r="E468" s="19"/>
      <c r="F468" s="5"/>
      <c r="H468" s="19"/>
    </row>
    <row r="469">
      <c r="A469" s="44"/>
      <c r="C469" s="61"/>
      <c r="E469" s="19"/>
      <c r="F469" s="5"/>
      <c r="H469" s="19"/>
    </row>
    <row r="470">
      <c r="A470" s="44"/>
      <c r="C470" s="61"/>
      <c r="E470" s="19"/>
      <c r="F470" s="5"/>
      <c r="H470" s="19"/>
    </row>
    <row r="471">
      <c r="A471" s="44"/>
      <c r="C471" s="61"/>
      <c r="E471" s="19"/>
      <c r="F471" s="5"/>
      <c r="H471" s="19"/>
    </row>
    <row r="472">
      <c r="A472" s="44"/>
      <c r="C472" s="61"/>
      <c r="E472" s="19"/>
      <c r="F472" s="5"/>
      <c r="H472" s="19"/>
    </row>
    <row r="473">
      <c r="A473" s="44"/>
      <c r="C473" s="61"/>
      <c r="E473" s="19"/>
      <c r="F473" s="5"/>
      <c r="H473" s="19"/>
    </row>
    <row r="474">
      <c r="A474" s="44"/>
      <c r="C474" s="61"/>
      <c r="E474" s="19"/>
      <c r="F474" s="5"/>
      <c r="H474" s="19"/>
    </row>
    <row r="475">
      <c r="A475" s="44"/>
      <c r="C475" s="61"/>
      <c r="E475" s="19"/>
      <c r="F475" s="5"/>
      <c r="H475" s="19"/>
    </row>
    <row r="476">
      <c r="A476" s="44"/>
      <c r="C476" s="61"/>
      <c r="E476" s="19"/>
      <c r="F476" s="5"/>
      <c r="H476" s="19"/>
    </row>
    <row r="477">
      <c r="A477" s="44"/>
      <c r="C477" s="61"/>
      <c r="E477" s="19"/>
      <c r="F477" s="5"/>
      <c r="H477" s="19"/>
    </row>
    <row r="478">
      <c r="A478" s="44"/>
      <c r="C478" s="61"/>
      <c r="E478" s="19"/>
      <c r="F478" s="5"/>
      <c r="H478" s="19"/>
    </row>
    <row r="479">
      <c r="A479" s="44"/>
      <c r="C479" s="61"/>
      <c r="E479" s="19"/>
      <c r="F479" s="5"/>
      <c r="H479" s="19"/>
    </row>
    <row r="480">
      <c r="A480" s="44"/>
      <c r="C480" s="61"/>
      <c r="E480" s="19"/>
      <c r="F480" s="5"/>
      <c r="H480" s="19"/>
    </row>
    <row r="481">
      <c r="A481" s="44"/>
      <c r="C481" s="61"/>
      <c r="E481" s="19"/>
      <c r="F481" s="5"/>
      <c r="H481" s="19"/>
    </row>
    <row r="482">
      <c r="A482" s="44"/>
      <c r="C482" s="61"/>
      <c r="E482" s="19"/>
      <c r="F482" s="5"/>
      <c r="H482" s="19"/>
    </row>
    <row r="483">
      <c r="A483" s="44"/>
      <c r="C483" s="61"/>
      <c r="E483" s="19"/>
      <c r="F483" s="5"/>
      <c r="H483" s="19"/>
    </row>
    <row r="484">
      <c r="A484" s="44"/>
      <c r="C484" s="61"/>
      <c r="E484" s="19"/>
      <c r="F484" s="5"/>
      <c r="H484" s="19"/>
    </row>
    <row r="485">
      <c r="A485" s="44"/>
      <c r="C485" s="61"/>
      <c r="E485" s="19"/>
      <c r="F485" s="5"/>
      <c r="H485" s="19"/>
    </row>
    <row r="486">
      <c r="A486" s="44"/>
      <c r="C486" s="61"/>
      <c r="E486" s="19"/>
      <c r="F486" s="5"/>
      <c r="H486" s="19"/>
    </row>
    <row r="487">
      <c r="A487" s="44"/>
      <c r="C487" s="61"/>
      <c r="E487" s="19"/>
      <c r="F487" s="5"/>
      <c r="H487" s="19"/>
    </row>
    <row r="488">
      <c r="A488" s="44"/>
      <c r="C488" s="61"/>
      <c r="E488" s="19"/>
      <c r="F488" s="5"/>
      <c r="H488" s="19"/>
    </row>
    <row r="489">
      <c r="A489" s="44"/>
      <c r="C489" s="61"/>
      <c r="E489" s="19"/>
      <c r="F489" s="5"/>
      <c r="H489" s="19"/>
    </row>
    <row r="490">
      <c r="A490" s="44"/>
      <c r="C490" s="61"/>
      <c r="E490" s="19"/>
      <c r="F490" s="5"/>
      <c r="H490" s="19"/>
    </row>
    <row r="491">
      <c r="A491" s="44"/>
      <c r="C491" s="61"/>
      <c r="E491" s="19"/>
      <c r="F491" s="5"/>
      <c r="H491" s="19"/>
    </row>
    <row r="492">
      <c r="A492" s="44"/>
      <c r="C492" s="61"/>
      <c r="E492" s="19"/>
      <c r="F492" s="5"/>
      <c r="H492" s="19"/>
    </row>
    <row r="493">
      <c r="A493" s="44"/>
      <c r="C493" s="61"/>
      <c r="E493" s="19"/>
      <c r="F493" s="5"/>
      <c r="H493" s="19"/>
    </row>
    <row r="494">
      <c r="A494" s="44"/>
      <c r="C494" s="61"/>
      <c r="E494" s="19"/>
      <c r="F494" s="5"/>
      <c r="H494" s="19"/>
    </row>
    <row r="495">
      <c r="A495" s="44"/>
      <c r="C495" s="61"/>
      <c r="E495" s="19"/>
      <c r="F495" s="5"/>
      <c r="H495" s="19"/>
    </row>
    <row r="496">
      <c r="A496" s="44"/>
      <c r="C496" s="61"/>
      <c r="E496" s="19"/>
      <c r="F496" s="5"/>
      <c r="H496" s="19"/>
    </row>
    <row r="497">
      <c r="A497" s="44"/>
      <c r="C497" s="61"/>
      <c r="E497" s="19"/>
      <c r="F497" s="5"/>
      <c r="H497" s="19"/>
    </row>
    <row r="498">
      <c r="A498" s="44"/>
      <c r="C498" s="61"/>
      <c r="E498" s="19"/>
      <c r="F498" s="5"/>
      <c r="H498" s="19"/>
    </row>
    <row r="499">
      <c r="A499" s="44"/>
      <c r="C499" s="61"/>
      <c r="E499" s="19"/>
      <c r="F499" s="5"/>
      <c r="H499" s="19"/>
    </row>
    <row r="500">
      <c r="A500" s="44"/>
      <c r="C500" s="61"/>
      <c r="E500" s="19"/>
      <c r="F500" s="5"/>
      <c r="H500" s="19"/>
    </row>
    <row r="501">
      <c r="A501" s="44"/>
      <c r="C501" s="61"/>
      <c r="E501" s="19"/>
      <c r="F501" s="5"/>
      <c r="H501" s="19"/>
    </row>
    <row r="502">
      <c r="A502" s="44"/>
      <c r="C502" s="61"/>
      <c r="E502" s="19"/>
      <c r="F502" s="5"/>
      <c r="H502" s="19"/>
    </row>
    <row r="503">
      <c r="A503" s="44"/>
      <c r="C503" s="61"/>
      <c r="E503" s="19"/>
      <c r="F503" s="5"/>
      <c r="H503" s="19"/>
    </row>
    <row r="504">
      <c r="A504" s="44"/>
      <c r="C504" s="61"/>
      <c r="E504" s="19"/>
      <c r="F504" s="5"/>
      <c r="H504" s="19"/>
    </row>
    <row r="505">
      <c r="A505" s="44"/>
      <c r="C505" s="61"/>
      <c r="E505" s="19"/>
      <c r="F505" s="5"/>
      <c r="H505" s="19"/>
    </row>
    <row r="506">
      <c r="A506" s="44"/>
      <c r="C506" s="61"/>
      <c r="E506" s="19"/>
      <c r="F506" s="5"/>
      <c r="H506" s="19"/>
    </row>
    <row r="507">
      <c r="A507" s="44"/>
      <c r="C507" s="61"/>
      <c r="E507" s="19"/>
      <c r="F507" s="5"/>
      <c r="H507" s="19"/>
    </row>
    <row r="508">
      <c r="A508" s="44"/>
      <c r="C508" s="61"/>
      <c r="E508" s="19"/>
      <c r="F508" s="5"/>
      <c r="H508" s="19"/>
    </row>
    <row r="509">
      <c r="A509" s="44"/>
      <c r="C509" s="61"/>
      <c r="E509" s="19"/>
      <c r="F509" s="5"/>
      <c r="H509" s="19"/>
    </row>
    <row r="510">
      <c r="A510" s="44"/>
      <c r="C510" s="61"/>
      <c r="E510" s="19"/>
      <c r="F510" s="5"/>
      <c r="H510" s="19"/>
    </row>
    <row r="511">
      <c r="A511" s="44"/>
      <c r="C511" s="61"/>
      <c r="E511" s="19"/>
      <c r="F511" s="5"/>
      <c r="H511" s="19"/>
    </row>
    <row r="512">
      <c r="A512" s="44"/>
      <c r="C512" s="61"/>
      <c r="E512" s="19"/>
      <c r="F512" s="5"/>
      <c r="H512" s="19"/>
    </row>
    <row r="513">
      <c r="A513" s="44"/>
      <c r="C513" s="61"/>
      <c r="E513" s="19"/>
      <c r="F513" s="5"/>
      <c r="H513" s="19"/>
    </row>
    <row r="514">
      <c r="A514" s="44"/>
      <c r="C514" s="61"/>
      <c r="E514" s="19"/>
      <c r="F514" s="5"/>
      <c r="H514" s="19"/>
    </row>
    <row r="515">
      <c r="A515" s="44"/>
      <c r="C515" s="61"/>
      <c r="E515" s="19"/>
      <c r="F515" s="5"/>
      <c r="H515" s="19"/>
    </row>
    <row r="516">
      <c r="A516" s="44"/>
      <c r="C516" s="61"/>
      <c r="E516" s="19"/>
      <c r="F516" s="5"/>
      <c r="H516" s="19"/>
    </row>
    <row r="517">
      <c r="A517" s="44"/>
      <c r="C517" s="61"/>
      <c r="E517" s="19"/>
      <c r="F517" s="5"/>
      <c r="H517" s="19"/>
    </row>
    <row r="518">
      <c r="A518" s="44"/>
      <c r="C518" s="61"/>
      <c r="E518" s="19"/>
      <c r="F518" s="5"/>
      <c r="H518" s="19"/>
    </row>
    <row r="519">
      <c r="A519" s="44"/>
      <c r="C519" s="61"/>
      <c r="E519" s="19"/>
      <c r="F519" s="5"/>
      <c r="H519" s="19"/>
    </row>
    <row r="520">
      <c r="A520" s="44"/>
      <c r="C520" s="61"/>
      <c r="E520" s="19"/>
      <c r="F520" s="5"/>
      <c r="H520" s="19"/>
    </row>
    <row r="521">
      <c r="A521" s="44"/>
      <c r="C521" s="61"/>
      <c r="E521" s="19"/>
      <c r="F521" s="5"/>
      <c r="H521" s="19"/>
    </row>
    <row r="522">
      <c r="A522" s="44"/>
      <c r="C522" s="61"/>
      <c r="E522" s="19"/>
      <c r="F522" s="5"/>
      <c r="H522" s="19"/>
    </row>
    <row r="523">
      <c r="A523" s="44"/>
      <c r="C523" s="61"/>
      <c r="E523" s="19"/>
      <c r="F523" s="5"/>
      <c r="H523" s="19"/>
    </row>
    <row r="524">
      <c r="A524" s="44"/>
      <c r="C524" s="61"/>
      <c r="E524" s="19"/>
      <c r="F524" s="5"/>
      <c r="H524" s="19"/>
    </row>
    <row r="525">
      <c r="A525" s="44"/>
      <c r="C525" s="61"/>
      <c r="E525" s="19"/>
      <c r="F525" s="5"/>
      <c r="H525" s="19"/>
    </row>
    <row r="526">
      <c r="A526" s="44"/>
      <c r="C526" s="61"/>
      <c r="E526" s="19"/>
      <c r="F526" s="5"/>
      <c r="H526" s="19"/>
    </row>
    <row r="527">
      <c r="A527" s="44"/>
      <c r="C527" s="61"/>
      <c r="E527" s="19"/>
      <c r="F527" s="5"/>
      <c r="H527" s="19"/>
    </row>
    <row r="528">
      <c r="A528" s="44"/>
      <c r="C528" s="61"/>
      <c r="E528" s="19"/>
      <c r="F528" s="5"/>
      <c r="H528" s="19"/>
    </row>
    <row r="529">
      <c r="A529" s="44"/>
      <c r="C529" s="61"/>
      <c r="E529" s="19"/>
      <c r="F529" s="5"/>
      <c r="H529" s="19"/>
    </row>
    <row r="530">
      <c r="A530" s="44"/>
      <c r="C530" s="61"/>
      <c r="E530" s="19"/>
      <c r="F530" s="5"/>
      <c r="H530" s="19"/>
    </row>
    <row r="531">
      <c r="A531" s="44"/>
      <c r="C531" s="61"/>
      <c r="E531" s="19"/>
      <c r="F531" s="5"/>
      <c r="H531" s="19"/>
    </row>
    <row r="532">
      <c r="A532" s="44"/>
      <c r="C532" s="61"/>
      <c r="E532" s="19"/>
      <c r="F532" s="5"/>
      <c r="H532" s="19"/>
    </row>
    <row r="533">
      <c r="A533" s="44"/>
      <c r="C533" s="61"/>
      <c r="E533" s="19"/>
      <c r="F533" s="5"/>
      <c r="H533" s="19"/>
    </row>
    <row r="534">
      <c r="A534" s="44"/>
      <c r="C534" s="61"/>
      <c r="E534" s="19"/>
      <c r="F534" s="5"/>
      <c r="H534" s="19"/>
    </row>
    <row r="535">
      <c r="A535" s="44"/>
      <c r="C535" s="61"/>
      <c r="E535" s="19"/>
      <c r="F535" s="5"/>
      <c r="H535" s="19"/>
    </row>
    <row r="536">
      <c r="A536" s="44"/>
      <c r="C536" s="61"/>
      <c r="E536" s="19"/>
      <c r="F536" s="5"/>
      <c r="H536" s="19"/>
    </row>
    <row r="537">
      <c r="A537" s="44"/>
      <c r="C537" s="61"/>
      <c r="E537" s="19"/>
      <c r="F537" s="5"/>
      <c r="H537" s="19"/>
    </row>
    <row r="538">
      <c r="A538" s="44"/>
      <c r="C538" s="61"/>
      <c r="E538" s="19"/>
      <c r="F538" s="5"/>
      <c r="H538" s="19"/>
    </row>
    <row r="539">
      <c r="A539" s="44"/>
      <c r="C539" s="61"/>
      <c r="E539" s="19"/>
      <c r="F539" s="5"/>
      <c r="H539" s="19"/>
    </row>
    <row r="540">
      <c r="A540" s="44"/>
      <c r="C540" s="61"/>
      <c r="E540" s="19"/>
      <c r="F540" s="5"/>
      <c r="H540" s="19"/>
    </row>
    <row r="541">
      <c r="A541" s="44"/>
      <c r="C541" s="61"/>
      <c r="E541" s="19"/>
      <c r="F541" s="5"/>
      <c r="H541" s="19"/>
    </row>
    <row r="542">
      <c r="A542" s="44"/>
      <c r="C542" s="61"/>
      <c r="E542" s="19"/>
      <c r="F542" s="5"/>
      <c r="H542" s="19"/>
    </row>
    <row r="543">
      <c r="A543" s="44"/>
      <c r="C543" s="61"/>
      <c r="E543" s="19"/>
      <c r="F543" s="5"/>
      <c r="H543" s="19"/>
    </row>
    <row r="544">
      <c r="A544" s="44"/>
      <c r="C544" s="61"/>
      <c r="E544" s="19"/>
      <c r="F544" s="5"/>
      <c r="H544" s="19"/>
    </row>
    <row r="545">
      <c r="A545" s="44"/>
      <c r="C545" s="61"/>
      <c r="E545" s="19"/>
      <c r="F545" s="5"/>
      <c r="H545" s="19"/>
    </row>
    <row r="546">
      <c r="A546" s="44"/>
      <c r="C546" s="61"/>
      <c r="E546" s="19"/>
      <c r="F546" s="5"/>
      <c r="H546" s="19"/>
    </row>
    <row r="547">
      <c r="A547" s="44"/>
      <c r="C547" s="61"/>
      <c r="E547" s="19"/>
      <c r="F547" s="5"/>
      <c r="H547" s="19"/>
    </row>
    <row r="548">
      <c r="A548" s="44"/>
      <c r="C548" s="61"/>
      <c r="E548" s="19"/>
      <c r="F548" s="5"/>
      <c r="H548" s="19"/>
    </row>
    <row r="549">
      <c r="A549" s="44"/>
      <c r="C549" s="61"/>
      <c r="E549" s="19"/>
      <c r="F549" s="5"/>
      <c r="H549" s="19"/>
    </row>
    <row r="550">
      <c r="A550" s="44"/>
      <c r="C550" s="61"/>
      <c r="E550" s="19"/>
      <c r="F550" s="5"/>
      <c r="H550" s="19"/>
    </row>
    <row r="551">
      <c r="A551" s="44"/>
      <c r="C551" s="61"/>
      <c r="E551" s="19"/>
      <c r="F551" s="5"/>
      <c r="H551" s="19"/>
    </row>
    <row r="552">
      <c r="A552" s="44"/>
      <c r="C552" s="61"/>
      <c r="E552" s="19"/>
      <c r="F552" s="5"/>
      <c r="H552" s="19"/>
    </row>
    <row r="553">
      <c r="A553" s="44"/>
      <c r="C553" s="61"/>
      <c r="E553" s="19"/>
      <c r="F553" s="5"/>
      <c r="H553" s="19"/>
    </row>
    <row r="554">
      <c r="A554" s="44"/>
      <c r="C554" s="61"/>
      <c r="E554" s="19"/>
      <c r="F554" s="5"/>
      <c r="H554" s="19"/>
    </row>
    <row r="555">
      <c r="A555" s="44"/>
      <c r="C555" s="61"/>
      <c r="E555" s="19"/>
      <c r="F555" s="5"/>
      <c r="H555" s="19"/>
    </row>
    <row r="556">
      <c r="A556" s="44"/>
      <c r="C556" s="61"/>
      <c r="E556" s="19"/>
      <c r="F556" s="5"/>
      <c r="H556" s="19"/>
    </row>
    <row r="557">
      <c r="A557" s="44"/>
      <c r="C557" s="61"/>
      <c r="E557" s="19"/>
      <c r="F557" s="5"/>
      <c r="H557" s="19"/>
    </row>
    <row r="558">
      <c r="A558" s="44"/>
      <c r="C558" s="61"/>
      <c r="E558" s="19"/>
      <c r="F558" s="5"/>
      <c r="H558" s="19"/>
    </row>
    <row r="559">
      <c r="A559" s="44"/>
      <c r="C559" s="61"/>
      <c r="E559" s="19"/>
      <c r="F559" s="5"/>
      <c r="H559" s="19"/>
    </row>
    <row r="560">
      <c r="A560" s="44"/>
      <c r="C560" s="61"/>
      <c r="E560" s="19"/>
      <c r="F560" s="5"/>
      <c r="H560" s="19"/>
    </row>
    <row r="561">
      <c r="A561" s="44"/>
      <c r="C561" s="61"/>
      <c r="E561" s="19"/>
      <c r="F561" s="5"/>
      <c r="H561" s="19"/>
    </row>
    <row r="562">
      <c r="A562" s="44"/>
      <c r="C562" s="61"/>
      <c r="E562" s="19"/>
      <c r="F562" s="5"/>
      <c r="H562" s="19"/>
    </row>
    <row r="563">
      <c r="A563" s="44"/>
      <c r="C563" s="61"/>
      <c r="E563" s="19"/>
      <c r="F563" s="5"/>
      <c r="H563" s="19"/>
    </row>
    <row r="564">
      <c r="A564" s="44"/>
      <c r="C564" s="61"/>
      <c r="E564" s="19"/>
      <c r="F564" s="5"/>
      <c r="H564" s="19"/>
    </row>
    <row r="565">
      <c r="A565" s="44"/>
      <c r="C565" s="61"/>
      <c r="E565" s="19"/>
      <c r="F565" s="5"/>
      <c r="H565" s="19"/>
    </row>
    <row r="566">
      <c r="A566" s="44"/>
      <c r="C566" s="61"/>
      <c r="E566" s="19"/>
      <c r="F566" s="5"/>
      <c r="H566" s="19"/>
    </row>
    <row r="567">
      <c r="A567" s="44"/>
      <c r="C567" s="61"/>
      <c r="E567" s="19"/>
      <c r="F567" s="5"/>
      <c r="H567" s="19"/>
    </row>
    <row r="568">
      <c r="A568" s="44"/>
      <c r="C568" s="61"/>
      <c r="E568" s="19"/>
      <c r="F568" s="5"/>
      <c r="H568" s="19"/>
    </row>
    <row r="569">
      <c r="A569" s="44"/>
      <c r="C569" s="61"/>
      <c r="E569" s="19"/>
      <c r="F569" s="5"/>
      <c r="H569" s="19"/>
    </row>
    <row r="570">
      <c r="A570" s="44"/>
      <c r="C570" s="61"/>
      <c r="E570" s="19"/>
      <c r="F570" s="5"/>
      <c r="H570" s="19"/>
    </row>
    <row r="571">
      <c r="A571" s="44"/>
      <c r="C571" s="61"/>
      <c r="E571" s="19"/>
      <c r="F571" s="5"/>
      <c r="H571" s="19"/>
    </row>
    <row r="572">
      <c r="A572" s="44"/>
      <c r="C572" s="61"/>
      <c r="E572" s="19"/>
      <c r="F572" s="5"/>
      <c r="H572" s="19"/>
    </row>
    <row r="573">
      <c r="A573" s="44"/>
      <c r="C573" s="61"/>
      <c r="E573" s="19"/>
      <c r="F573" s="5"/>
      <c r="H573" s="19"/>
    </row>
    <row r="574">
      <c r="A574" s="44"/>
      <c r="C574" s="61"/>
      <c r="E574" s="19"/>
      <c r="F574" s="5"/>
      <c r="H574" s="19"/>
    </row>
    <row r="575">
      <c r="A575" s="44"/>
      <c r="C575" s="61"/>
      <c r="E575" s="19"/>
      <c r="F575" s="5"/>
      <c r="H575" s="19"/>
    </row>
    <row r="576">
      <c r="A576" s="44"/>
      <c r="C576" s="61"/>
      <c r="E576" s="19"/>
      <c r="F576" s="5"/>
      <c r="H576" s="19"/>
    </row>
    <row r="577">
      <c r="A577" s="44"/>
      <c r="C577" s="61"/>
      <c r="E577" s="19"/>
      <c r="F577" s="5"/>
      <c r="H577" s="19"/>
    </row>
    <row r="578">
      <c r="A578" s="44"/>
      <c r="C578" s="61"/>
      <c r="E578" s="19"/>
      <c r="F578" s="5"/>
      <c r="H578" s="19"/>
    </row>
    <row r="579">
      <c r="A579" s="44"/>
      <c r="C579" s="61"/>
      <c r="E579" s="19"/>
      <c r="F579" s="5"/>
      <c r="H579" s="19"/>
    </row>
    <row r="580">
      <c r="A580" s="44"/>
      <c r="C580" s="61"/>
      <c r="E580" s="19"/>
      <c r="F580" s="5"/>
      <c r="H580" s="19"/>
    </row>
    <row r="581">
      <c r="A581" s="44"/>
      <c r="C581" s="61"/>
      <c r="E581" s="19"/>
      <c r="F581" s="5"/>
      <c r="H581" s="19"/>
    </row>
    <row r="582">
      <c r="A582" s="44"/>
      <c r="C582" s="61"/>
      <c r="E582" s="19"/>
      <c r="F582" s="5"/>
      <c r="H582" s="19"/>
    </row>
    <row r="583">
      <c r="A583" s="44"/>
      <c r="C583" s="61"/>
      <c r="E583" s="19"/>
      <c r="F583" s="5"/>
      <c r="H583" s="19"/>
    </row>
    <row r="584">
      <c r="A584" s="44"/>
      <c r="C584" s="61"/>
      <c r="E584" s="19"/>
      <c r="F584" s="5"/>
      <c r="H584" s="19"/>
    </row>
    <row r="585">
      <c r="A585" s="44"/>
      <c r="C585" s="61"/>
      <c r="E585" s="19"/>
      <c r="F585" s="5"/>
      <c r="H585" s="19"/>
    </row>
    <row r="586">
      <c r="A586" s="44"/>
      <c r="C586" s="61"/>
      <c r="E586" s="19"/>
      <c r="F586" s="5"/>
      <c r="H586" s="19"/>
    </row>
    <row r="587">
      <c r="A587" s="44"/>
      <c r="C587" s="61"/>
      <c r="E587" s="19"/>
      <c r="F587" s="5"/>
      <c r="H587" s="19"/>
    </row>
    <row r="588">
      <c r="A588" s="44"/>
      <c r="C588" s="61"/>
      <c r="E588" s="19"/>
      <c r="F588" s="5"/>
      <c r="H588" s="19"/>
    </row>
    <row r="589">
      <c r="A589" s="44"/>
      <c r="C589" s="61"/>
      <c r="E589" s="19"/>
      <c r="F589" s="5"/>
      <c r="H589" s="19"/>
    </row>
    <row r="590">
      <c r="A590" s="44"/>
      <c r="C590" s="61"/>
      <c r="E590" s="19"/>
      <c r="F590" s="5"/>
      <c r="H590" s="19"/>
    </row>
    <row r="591">
      <c r="A591" s="44"/>
      <c r="C591" s="61"/>
      <c r="E591" s="19"/>
      <c r="F591" s="5"/>
      <c r="H591" s="19"/>
    </row>
    <row r="592">
      <c r="A592" s="44"/>
      <c r="C592" s="61"/>
      <c r="E592" s="19"/>
      <c r="F592" s="5"/>
      <c r="H592" s="19"/>
    </row>
    <row r="593">
      <c r="A593" s="44"/>
      <c r="C593" s="61"/>
      <c r="E593" s="19"/>
      <c r="F593" s="5"/>
      <c r="H593" s="19"/>
    </row>
    <row r="594">
      <c r="A594" s="44"/>
      <c r="C594" s="61"/>
      <c r="E594" s="19"/>
      <c r="F594" s="5"/>
      <c r="H594" s="19"/>
    </row>
    <row r="595">
      <c r="A595" s="44"/>
      <c r="C595" s="61"/>
      <c r="E595" s="19"/>
      <c r="F595" s="5"/>
      <c r="H595" s="19"/>
    </row>
    <row r="596">
      <c r="A596" s="44"/>
      <c r="C596" s="61"/>
      <c r="E596" s="19"/>
      <c r="F596" s="5"/>
      <c r="H596" s="19"/>
    </row>
    <row r="597">
      <c r="A597" s="44"/>
      <c r="C597" s="61"/>
      <c r="E597" s="19"/>
      <c r="F597" s="5"/>
      <c r="H597" s="19"/>
    </row>
    <row r="598">
      <c r="A598" s="44"/>
      <c r="C598" s="61"/>
      <c r="E598" s="19"/>
      <c r="F598" s="5"/>
      <c r="H598" s="19"/>
    </row>
    <row r="599">
      <c r="A599" s="44"/>
      <c r="C599" s="61"/>
      <c r="E599" s="19"/>
      <c r="F599" s="5"/>
      <c r="H599" s="19"/>
    </row>
    <row r="600">
      <c r="A600" s="44"/>
      <c r="C600" s="61"/>
      <c r="E600" s="19"/>
      <c r="F600" s="5"/>
      <c r="H600" s="19"/>
    </row>
    <row r="601">
      <c r="A601" s="44"/>
      <c r="C601" s="61"/>
      <c r="E601" s="19"/>
      <c r="F601" s="5"/>
      <c r="H601" s="19"/>
    </row>
    <row r="602">
      <c r="A602" s="44"/>
      <c r="C602" s="61"/>
      <c r="E602" s="19"/>
      <c r="F602" s="5"/>
      <c r="H602" s="19"/>
    </row>
    <row r="603">
      <c r="A603" s="44"/>
      <c r="C603" s="61"/>
      <c r="E603" s="19"/>
      <c r="F603" s="5"/>
      <c r="H603" s="19"/>
    </row>
    <row r="604">
      <c r="A604" s="44"/>
      <c r="C604" s="61"/>
      <c r="E604" s="19"/>
      <c r="F604" s="5"/>
      <c r="H604" s="19"/>
    </row>
    <row r="605">
      <c r="A605" s="44"/>
      <c r="C605" s="61"/>
      <c r="E605" s="19"/>
      <c r="F605" s="5"/>
      <c r="H605" s="19"/>
    </row>
    <row r="606">
      <c r="A606" s="44"/>
      <c r="C606" s="61"/>
      <c r="E606" s="19"/>
      <c r="F606" s="5"/>
      <c r="H606" s="19"/>
    </row>
    <row r="607">
      <c r="A607" s="44"/>
      <c r="C607" s="61"/>
      <c r="E607" s="19"/>
      <c r="F607" s="5"/>
      <c r="H607" s="19"/>
    </row>
    <row r="608">
      <c r="A608" s="44"/>
      <c r="C608" s="61"/>
      <c r="E608" s="19"/>
      <c r="F608" s="5"/>
      <c r="H608" s="19"/>
    </row>
    <row r="609">
      <c r="A609" s="44"/>
      <c r="C609" s="61"/>
      <c r="E609" s="19"/>
      <c r="F609" s="5"/>
      <c r="H609" s="19"/>
    </row>
    <row r="610">
      <c r="A610" s="44"/>
      <c r="C610" s="61"/>
      <c r="E610" s="19"/>
      <c r="F610" s="5"/>
      <c r="H610" s="19"/>
    </row>
    <row r="611">
      <c r="A611" s="44"/>
      <c r="C611" s="61"/>
      <c r="E611" s="19"/>
      <c r="F611" s="5"/>
      <c r="H611" s="19"/>
    </row>
    <row r="612">
      <c r="A612" s="44"/>
      <c r="C612" s="61"/>
      <c r="E612" s="19"/>
      <c r="F612" s="5"/>
      <c r="H612" s="19"/>
    </row>
    <row r="613">
      <c r="A613" s="44"/>
      <c r="C613" s="61"/>
      <c r="E613" s="19"/>
      <c r="F613" s="5"/>
      <c r="H613" s="19"/>
    </row>
    <row r="614">
      <c r="A614" s="44"/>
      <c r="C614" s="61"/>
      <c r="E614" s="19"/>
      <c r="F614" s="5"/>
      <c r="H614" s="19"/>
    </row>
    <row r="615">
      <c r="A615" s="44"/>
      <c r="C615" s="61"/>
      <c r="E615" s="19"/>
      <c r="F615" s="5"/>
      <c r="H615" s="19"/>
    </row>
    <row r="616">
      <c r="A616" s="44"/>
      <c r="C616" s="61"/>
      <c r="E616" s="19"/>
      <c r="F616" s="5"/>
      <c r="H616" s="19"/>
    </row>
    <row r="617">
      <c r="A617" s="44"/>
      <c r="C617" s="61"/>
      <c r="E617" s="19"/>
      <c r="F617" s="5"/>
      <c r="H617" s="19"/>
    </row>
    <row r="618">
      <c r="A618" s="44"/>
      <c r="C618" s="61"/>
      <c r="E618" s="19"/>
      <c r="F618" s="5"/>
      <c r="H618" s="19"/>
    </row>
    <row r="619">
      <c r="A619" s="44"/>
      <c r="C619" s="61"/>
      <c r="E619" s="19"/>
      <c r="F619" s="5"/>
      <c r="H619" s="19"/>
    </row>
    <row r="620">
      <c r="A620" s="44"/>
      <c r="C620" s="61"/>
      <c r="E620" s="19"/>
      <c r="F620" s="5"/>
      <c r="H620" s="19"/>
    </row>
    <row r="621">
      <c r="A621" s="44"/>
      <c r="C621" s="61"/>
      <c r="E621" s="19"/>
      <c r="F621" s="5"/>
      <c r="H621" s="19"/>
    </row>
    <row r="622">
      <c r="A622" s="44"/>
      <c r="C622" s="61"/>
      <c r="E622" s="19"/>
      <c r="F622" s="5"/>
      <c r="H622" s="19"/>
    </row>
    <row r="623">
      <c r="A623" s="44"/>
      <c r="C623" s="61"/>
      <c r="E623" s="19"/>
      <c r="F623" s="5"/>
      <c r="H623" s="19"/>
    </row>
    <row r="624">
      <c r="A624" s="44"/>
      <c r="C624" s="61"/>
      <c r="E624" s="19"/>
      <c r="F624" s="5"/>
      <c r="H624" s="19"/>
    </row>
    <row r="625">
      <c r="A625" s="44"/>
      <c r="C625" s="61"/>
      <c r="E625" s="19"/>
      <c r="F625" s="5"/>
      <c r="H625" s="19"/>
    </row>
    <row r="626">
      <c r="A626" s="44"/>
      <c r="C626" s="61"/>
      <c r="E626" s="19"/>
      <c r="F626" s="5"/>
      <c r="H626" s="19"/>
    </row>
    <row r="627">
      <c r="A627" s="44"/>
      <c r="C627" s="61"/>
      <c r="E627" s="19"/>
      <c r="F627" s="5"/>
      <c r="H627" s="19"/>
    </row>
    <row r="628">
      <c r="A628" s="44"/>
      <c r="C628" s="61"/>
      <c r="E628" s="19"/>
      <c r="F628" s="5"/>
      <c r="H628" s="19"/>
    </row>
    <row r="629">
      <c r="A629" s="44"/>
      <c r="C629" s="61"/>
      <c r="E629" s="19"/>
      <c r="F629" s="5"/>
      <c r="H629" s="19"/>
    </row>
    <row r="630">
      <c r="A630" s="44"/>
      <c r="C630" s="61"/>
      <c r="E630" s="19"/>
      <c r="F630" s="5"/>
      <c r="H630" s="19"/>
    </row>
    <row r="631">
      <c r="A631" s="44"/>
      <c r="C631" s="61"/>
      <c r="E631" s="19"/>
      <c r="F631" s="5"/>
      <c r="H631" s="19"/>
    </row>
    <row r="632">
      <c r="A632" s="44"/>
      <c r="C632" s="61"/>
      <c r="E632" s="19"/>
      <c r="F632" s="5"/>
      <c r="H632" s="19"/>
    </row>
    <row r="633">
      <c r="A633" s="44"/>
      <c r="C633" s="61"/>
      <c r="E633" s="19"/>
      <c r="F633" s="5"/>
      <c r="H633" s="19"/>
    </row>
    <row r="634">
      <c r="A634" s="44"/>
      <c r="C634" s="61"/>
      <c r="E634" s="19"/>
      <c r="F634" s="5"/>
      <c r="H634" s="19"/>
    </row>
    <row r="635">
      <c r="A635" s="44"/>
      <c r="C635" s="61"/>
      <c r="E635" s="19"/>
      <c r="F635" s="5"/>
      <c r="H635" s="19"/>
    </row>
    <row r="636">
      <c r="A636" s="44"/>
      <c r="C636" s="61"/>
      <c r="E636" s="19"/>
      <c r="F636" s="5"/>
      <c r="H636" s="19"/>
    </row>
    <row r="637">
      <c r="A637" s="44"/>
      <c r="C637" s="61"/>
      <c r="E637" s="19"/>
      <c r="F637" s="5"/>
      <c r="H637" s="19"/>
    </row>
    <row r="638">
      <c r="A638" s="44"/>
      <c r="C638" s="61"/>
      <c r="E638" s="19"/>
      <c r="F638" s="5"/>
      <c r="H638" s="19"/>
    </row>
    <row r="639">
      <c r="A639" s="44"/>
      <c r="C639" s="61"/>
      <c r="E639" s="19"/>
      <c r="F639" s="5"/>
      <c r="H639" s="19"/>
    </row>
    <row r="640">
      <c r="A640" s="44"/>
      <c r="C640" s="61"/>
      <c r="E640" s="19"/>
      <c r="F640" s="5"/>
      <c r="H640" s="19"/>
    </row>
    <row r="641">
      <c r="A641" s="44"/>
      <c r="C641" s="61"/>
      <c r="E641" s="19"/>
      <c r="F641" s="5"/>
      <c r="H641" s="19"/>
    </row>
    <row r="642">
      <c r="A642" s="44"/>
      <c r="C642" s="61"/>
      <c r="E642" s="19"/>
      <c r="F642" s="5"/>
      <c r="H642" s="19"/>
    </row>
    <row r="643">
      <c r="A643" s="44"/>
      <c r="C643" s="61"/>
      <c r="E643" s="19"/>
      <c r="F643" s="5"/>
      <c r="H643" s="19"/>
    </row>
    <row r="644">
      <c r="A644" s="44"/>
      <c r="C644" s="61"/>
      <c r="E644" s="19"/>
      <c r="F644" s="5"/>
      <c r="H644" s="19"/>
    </row>
    <row r="645">
      <c r="A645" s="44"/>
      <c r="C645" s="61"/>
      <c r="E645" s="19"/>
      <c r="F645" s="5"/>
      <c r="H645" s="19"/>
    </row>
    <row r="646">
      <c r="A646" s="44"/>
      <c r="C646" s="61"/>
      <c r="E646" s="19"/>
      <c r="F646" s="5"/>
      <c r="H646" s="19"/>
    </row>
    <row r="647">
      <c r="A647" s="44"/>
      <c r="C647" s="61"/>
      <c r="E647" s="19"/>
      <c r="F647" s="5"/>
      <c r="H647" s="19"/>
    </row>
    <row r="648">
      <c r="A648" s="44"/>
      <c r="C648" s="61"/>
      <c r="E648" s="19"/>
      <c r="F648" s="5"/>
      <c r="H648" s="19"/>
    </row>
    <row r="649">
      <c r="A649" s="44"/>
      <c r="C649" s="61"/>
      <c r="E649" s="19"/>
      <c r="F649" s="5"/>
      <c r="H649" s="19"/>
    </row>
    <row r="650">
      <c r="A650" s="44"/>
      <c r="C650" s="61"/>
      <c r="E650" s="19"/>
      <c r="F650" s="5"/>
      <c r="H650" s="19"/>
    </row>
    <row r="651">
      <c r="A651" s="44"/>
      <c r="C651" s="61"/>
      <c r="E651" s="19"/>
      <c r="F651" s="5"/>
      <c r="H651" s="19"/>
    </row>
    <row r="652">
      <c r="A652" s="44"/>
      <c r="C652" s="61"/>
      <c r="E652" s="19"/>
      <c r="F652" s="5"/>
      <c r="H652" s="19"/>
    </row>
    <row r="653">
      <c r="A653" s="44"/>
      <c r="C653" s="61"/>
      <c r="E653" s="19"/>
      <c r="F653" s="5"/>
      <c r="H653" s="19"/>
    </row>
    <row r="654">
      <c r="A654" s="44"/>
      <c r="C654" s="61"/>
      <c r="E654" s="19"/>
      <c r="F654" s="5"/>
      <c r="H654" s="19"/>
    </row>
    <row r="655">
      <c r="A655" s="44"/>
      <c r="C655" s="61"/>
      <c r="E655" s="19"/>
      <c r="F655" s="5"/>
      <c r="H655" s="19"/>
    </row>
    <row r="656">
      <c r="A656" s="44"/>
      <c r="C656" s="61"/>
      <c r="E656" s="19"/>
      <c r="F656" s="5"/>
      <c r="H656" s="19"/>
    </row>
    <row r="657">
      <c r="A657" s="44"/>
      <c r="C657" s="61"/>
      <c r="E657" s="19"/>
      <c r="F657" s="5"/>
      <c r="H657" s="19"/>
    </row>
    <row r="658">
      <c r="A658" s="44"/>
      <c r="C658" s="61"/>
      <c r="E658" s="19"/>
      <c r="F658" s="5"/>
      <c r="H658" s="19"/>
    </row>
    <row r="659">
      <c r="A659" s="44"/>
      <c r="C659" s="61"/>
      <c r="E659" s="19"/>
      <c r="F659" s="5"/>
      <c r="H659" s="19"/>
    </row>
    <row r="660">
      <c r="A660" s="44"/>
      <c r="C660" s="61"/>
      <c r="E660" s="19"/>
      <c r="F660" s="5"/>
      <c r="H660" s="19"/>
    </row>
    <row r="661">
      <c r="A661" s="44"/>
      <c r="C661" s="61"/>
      <c r="E661" s="19"/>
      <c r="F661" s="5"/>
      <c r="H661" s="19"/>
    </row>
    <row r="662">
      <c r="A662" s="44"/>
      <c r="C662" s="61"/>
      <c r="E662" s="19"/>
      <c r="F662" s="5"/>
      <c r="H662" s="19"/>
    </row>
    <row r="663">
      <c r="A663" s="44"/>
      <c r="C663" s="61"/>
      <c r="E663" s="19"/>
      <c r="F663" s="5"/>
      <c r="H663" s="19"/>
    </row>
    <row r="664">
      <c r="A664" s="44"/>
      <c r="C664" s="61"/>
      <c r="E664" s="19"/>
      <c r="F664" s="5"/>
      <c r="H664" s="19"/>
    </row>
    <row r="665">
      <c r="A665" s="44"/>
      <c r="C665" s="61"/>
      <c r="E665" s="19"/>
      <c r="F665" s="5"/>
      <c r="H665" s="19"/>
    </row>
    <row r="666">
      <c r="A666" s="44"/>
      <c r="C666" s="61"/>
      <c r="E666" s="19"/>
      <c r="F666" s="5"/>
      <c r="H666" s="19"/>
    </row>
    <row r="667">
      <c r="A667" s="44"/>
      <c r="C667" s="61"/>
      <c r="E667" s="19"/>
      <c r="F667" s="5"/>
      <c r="H667" s="19"/>
    </row>
    <row r="668">
      <c r="A668" s="44"/>
      <c r="C668" s="61"/>
      <c r="E668" s="19"/>
      <c r="F668" s="5"/>
      <c r="H668" s="19"/>
    </row>
    <row r="669">
      <c r="A669" s="44"/>
      <c r="C669" s="61"/>
      <c r="E669" s="19"/>
      <c r="F669" s="5"/>
      <c r="H669" s="19"/>
    </row>
    <row r="670">
      <c r="A670" s="44"/>
      <c r="C670" s="61"/>
      <c r="E670" s="19"/>
      <c r="F670" s="5"/>
      <c r="H670" s="19"/>
    </row>
    <row r="671">
      <c r="A671" s="44"/>
      <c r="C671" s="61"/>
      <c r="E671" s="19"/>
      <c r="F671" s="5"/>
      <c r="H671" s="19"/>
    </row>
    <row r="672">
      <c r="A672" s="44"/>
      <c r="C672" s="61"/>
      <c r="E672" s="19"/>
      <c r="F672" s="5"/>
      <c r="H672" s="19"/>
    </row>
    <row r="673">
      <c r="A673" s="44"/>
      <c r="C673" s="61"/>
      <c r="E673" s="19"/>
      <c r="F673" s="5"/>
      <c r="H673" s="19"/>
    </row>
    <row r="674">
      <c r="A674" s="44"/>
      <c r="C674" s="61"/>
      <c r="E674" s="19"/>
      <c r="F674" s="5"/>
      <c r="H674" s="19"/>
    </row>
    <row r="675">
      <c r="A675" s="44"/>
      <c r="C675" s="61"/>
      <c r="E675" s="19"/>
      <c r="F675" s="5"/>
      <c r="H675" s="19"/>
    </row>
    <row r="676">
      <c r="A676" s="44"/>
      <c r="C676" s="61"/>
      <c r="E676" s="19"/>
      <c r="F676" s="5"/>
      <c r="H676" s="19"/>
    </row>
    <row r="677">
      <c r="A677" s="44"/>
      <c r="C677" s="61"/>
      <c r="E677" s="19"/>
      <c r="F677" s="5"/>
      <c r="H677" s="19"/>
    </row>
    <row r="678">
      <c r="A678" s="44"/>
      <c r="C678" s="61"/>
      <c r="E678" s="19"/>
      <c r="F678" s="5"/>
      <c r="H678" s="19"/>
    </row>
    <row r="679">
      <c r="A679" s="44"/>
      <c r="C679" s="61"/>
      <c r="E679" s="19"/>
      <c r="F679" s="5"/>
      <c r="H679" s="19"/>
    </row>
    <row r="680">
      <c r="A680" s="44"/>
      <c r="C680" s="61"/>
      <c r="E680" s="19"/>
      <c r="F680" s="5"/>
      <c r="H680" s="19"/>
    </row>
    <row r="681">
      <c r="A681" s="44"/>
      <c r="C681" s="61"/>
      <c r="E681" s="19"/>
      <c r="F681" s="5"/>
      <c r="H681" s="19"/>
    </row>
    <row r="682">
      <c r="A682" s="44"/>
      <c r="C682" s="61"/>
      <c r="E682" s="19"/>
      <c r="F682" s="5"/>
      <c r="H682" s="19"/>
    </row>
    <row r="683">
      <c r="A683" s="44"/>
      <c r="C683" s="61"/>
      <c r="E683" s="19"/>
      <c r="F683" s="5"/>
      <c r="H683" s="19"/>
    </row>
    <row r="684">
      <c r="A684" s="44"/>
      <c r="C684" s="61"/>
      <c r="E684" s="19"/>
      <c r="F684" s="5"/>
      <c r="H684" s="19"/>
    </row>
    <row r="685">
      <c r="A685" s="44"/>
      <c r="C685" s="61"/>
      <c r="E685" s="19"/>
      <c r="F685" s="5"/>
      <c r="H685" s="19"/>
    </row>
    <row r="686">
      <c r="A686" s="44"/>
      <c r="C686" s="61"/>
      <c r="E686" s="19"/>
      <c r="F686" s="5"/>
      <c r="H686" s="19"/>
    </row>
    <row r="687">
      <c r="A687" s="44"/>
      <c r="C687" s="61"/>
      <c r="E687" s="19"/>
      <c r="F687" s="5"/>
      <c r="H687" s="19"/>
    </row>
    <row r="688">
      <c r="A688" s="44"/>
      <c r="C688" s="61"/>
      <c r="E688" s="19"/>
      <c r="F688" s="5"/>
      <c r="H688" s="19"/>
    </row>
    <row r="689">
      <c r="A689" s="44"/>
      <c r="C689" s="61"/>
      <c r="E689" s="19"/>
      <c r="F689" s="5"/>
      <c r="H689" s="19"/>
    </row>
    <row r="690">
      <c r="A690" s="44"/>
      <c r="C690" s="61"/>
      <c r="E690" s="19"/>
      <c r="F690" s="5"/>
      <c r="H690" s="19"/>
    </row>
    <row r="691">
      <c r="A691" s="44"/>
      <c r="C691" s="61"/>
      <c r="E691" s="19"/>
      <c r="F691" s="5"/>
      <c r="H691" s="19"/>
    </row>
    <row r="692">
      <c r="A692" s="44"/>
      <c r="C692" s="61"/>
      <c r="E692" s="19"/>
      <c r="F692" s="5"/>
      <c r="H692" s="19"/>
    </row>
    <row r="693">
      <c r="A693" s="44"/>
      <c r="C693" s="61"/>
      <c r="E693" s="19"/>
      <c r="F693" s="5"/>
      <c r="H693" s="19"/>
    </row>
    <row r="694">
      <c r="A694" s="44"/>
      <c r="C694" s="61"/>
      <c r="E694" s="19"/>
      <c r="F694" s="5"/>
      <c r="H694" s="19"/>
    </row>
    <row r="695">
      <c r="A695" s="44"/>
      <c r="C695" s="61"/>
      <c r="E695" s="19"/>
      <c r="F695" s="5"/>
      <c r="H695" s="19"/>
    </row>
    <row r="696">
      <c r="A696" s="44"/>
      <c r="C696" s="61"/>
      <c r="E696" s="19"/>
      <c r="F696" s="5"/>
      <c r="H696" s="19"/>
    </row>
    <row r="697">
      <c r="A697" s="44"/>
      <c r="C697" s="61"/>
      <c r="E697" s="19"/>
      <c r="F697" s="5"/>
      <c r="H697" s="19"/>
    </row>
    <row r="698">
      <c r="A698" s="44"/>
      <c r="C698" s="61"/>
      <c r="E698" s="19"/>
      <c r="F698" s="5"/>
      <c r="H698" s="19"/>
    </row>
    <row r="699">
      <c r="A699" s="44"/>
      <c r="C699" s="61"/>
      <c r="E699" s="19"/>
      <c r="F699" s="5"/>
      <c r="H699" s="19"/>
    </row>
    <row r="700">
      <c r="A700" s="44"/>
      <c r="C700" s="61"/>
      <c r="E700" s="19"/>
      <c r="F700" s="5"/>
      <c r="H700" s="19"/>
    </row>
    <row r="701">
      <c r="A701" s="44"/>
      <c r="C701" s="61"/>
      <c r="E701" s="19"/>
      <c r="F701" s="5"/>
      <c r="H701" s="19"/>
    </row>
    <row r="702">
      <c r="A702" s="44"/>
      <c r="C702" s="61"/>
      <c r="E702" s="19"/>
      <c r="F702" s="5"/>
      <c r="H702" s="19"/>
    </row>
    <row r="703">
      <c r="A703" s="44"/>
      <c r="C703" s="61"/>
      <c r="E703" s="19"/>
      <c r="F703" s="5"/>
      <c r="H703" s="19"/>
    </row>
    <row r="704">
      <c r="A704" s="44"/>
      <c r="C704" s="61"/>
      <c r="E704" s="19"/>
      <c r="F704" s="5"/>
      <c r="H704" s="19"/>
    </row>
    <row r="705">
      <c r="A705" s="44"/>
      <c r="C705" s="61"/>
      <c r="E705" s="19"/>
      <c r="F705" s="5"/>
      <c r="H705" s="19"/>
    </row>
    <row r="706">
      <c r="A706" s="44"/>
      <c r="C706" s="61"/>
      <c r="E706" s="19"/>
      <c r="F706" s="5"/>
      <c r="H706" s="19"/>
    </row>
    <row r="707">
      <c r="A707" s="44"/>
      <c r="C707" s="61"/>
      <c r="E707" s="19"/>
      <c r="F707" s="5"/>
      <c r="H707" s="19"/>
    </row>
    <row r="708">
      <c r="A708" s="44"/>
      <c r="C708" s="61"/>
      <c r="E708" s="19"/>
      <c r="F708" s="5"/>
      <c r="H708" s="19"/>
    </row>
    <row r="709">
      <c r="A709" s="44"/>
      <c r="C709" s="61"/>
      <c r="E709" s="19"/>
      <c r="F709" s="5"/>
      <c r="H709" s="19"/>
    </row>
    <row r="710">
      <c r="A710" s="44"/>
      <c r="C710" s="61"/>
      <c r="E710" s="19"/>
      <c r="F710" s="5"/>
      <c r="H710" s="19"/>
    </row>
    <row r="711">
      <c r="A711" s="44"/>
      <c r="C711" s="61"/>
      <c r="E711" s="19"/>
      <c r="F711" s="5"/>
      <c r="H711" s="19"/>
    </row>
    <row r="712">
      <c r="A712" s="44"/>
      <c r="C712" s="61"/>
      <c r="E712" s="19"/>
      <c r="F712" s="5"/>
      <c r="H712" s="19"/>
    </row>
    <row r="713">
      <c r="A713" s="44"/>
      <c r="C713" s="61"/>
      <c r="E713" s="19"/>
      <c r="F713" s="5"/>
      <c r="H713" s="19"/>
    </row>
    <row r="714">
      <c r="A714" s="44"/>
      <c r="C714" s="61"/>
      <c r="E714" s="19"/>
      <c r="F714" s="5"/>
      <c r="H714" s="19"/>
    </row>
    <row r="715">
      <c r="A715" s="44"/>
      <c r="C715" s="61"/>
      <c r="E715" s="19"/>
      <c r="F715" s="5"/>
      <c r="H715" s="19"/>
    </row>
    <row r="716">
      <c r="A716" s="44"/>
      <c r="C716" s="61"/>
      <c r="E716" s="19"/>
      <c r="F716" s="5"/>
      <c r="H716" s="19"/>
    </row>
    <row r="717">
      <c r="A717" s="44"/>
      <c r="C717" s="61"/>
      <c r="E717" s="19"/>
      <c r="F717" s="5"/>
      <c r="H717" s="19"/>
    </row>
    <row r="718">
      <c r="A718" s="44"/>
      <c r="C718" s="61"/>
      <c r="E718" s="19"/>
      <c r="F718" s="5"/>
      <c r="H718" s="19"/>
    </row>
    <row r="719">
      <c r="A719" s="44"/>
      <c r="C719" s="61"/>
      <c r="E719" s="19"/>
      <c r="F719" s="5"/>
      <c r="H719" s="19"/>
    </row>
    <row r="720">
      <c r="A720" s="44"/>
      <c r="C720" s="61"/>
      <c r="E720" s="19"/>
      <c r="F720" s="5"/>
      <c r="H720" s="19"/>
    </row>
    <row r="721">
      <c r="A721" s="44"/>
      <c r="C721" s="61"/>
      <c r="E721" s="19"/>
      <c r="F721" s="5"/>
      <c r="H721" s="19"/>
    </row>
    <row r="722">
      <c r="A722" s="44"/>
      <c r="C722" s="61"/>
      <c r="E722" s="19"/>
      <c r="F722" s="5"/>
      <c r="H722" s="19"/>
    </row>
    <row r="723">
      <c r="A723" s="44"/>
      <c r="C723" s="61"/>
      <c r="E723" s="19"/>
      <c r="F723" s="5"/>
      <c r="H723" s="19"/>
    </row>
    <row r="724">
      <c r="A724" s="44"/>
      <c r="C724" s="61"/>
      <c r="E724" s="19"/>
      <c r="F724" s="5"/>
      <c r="H724" s="19"/>
    </row>
    <row r="725">
      <c r="A725" s="44"/>
      <c r="C725" s="61"/>
      <c r="E725" s="19"/>
      <c r="F725" s="5"/>
      <c r="H725" s="19"/>
    </row>
    <row r="726">
      <c r="A726" s="44"/>
      <c r="C726" s="61"/>
      <c r="E726" s="19"/>
      <c r="F726" s="5"/>
      <c r="H726" s="19"/>
    </row>
    <row r="727">
      <c r="A727" s="44"/>
      <c r="C727" s="61"/>
      <c r="E727" s="19"/>
      <c r="F727" s="5"/>
      <c r="H727" s="19"/>
    </row>
    <row r="728">
      <c r="A728" s="44"/>
      <c r="C728" s="61"/>
      <c r="E728" s="19"/>
      <c r="F728" s="5"/>
      <c r="H728" s="19"/>
    </row>
    <row r="729">
      <c r="A729" s="44"/>
      <c r="C729" s="61"/>
      <c r="E729" s="19"/>
      <c r="F729" s="5"/>
      <c r="H729" s="19"/>
    </row>
    <row r="730">
      <c r="A730" s="44"/>
      <c r="C730" s="61"/>
      <c r="E730" s="19"/>
      <c r="F730" s="5"/>
      <c r="H730" s="19"/>
    </row>
    <row r="731">
      <c r="A731" s="44"/>
      <c r="C731" s="61"/>
      <c r="E731" s="19"/>
      <c r="F731" s="5"/>
      <c r="H731" s="19"/>
    </row>
    <row r="732">
      <c r="A732" s="44"/>
      <c r="C732" s="61"/>
      <c r="E732" s="19"/>
      <c r="F732" s="5"/>
      <c r="H732" s="19"/>
    </row>
    <row r="733">
      <c r="A733" s="44"/>
      <c r="C733" s="61"/>
      <c r="E733" s="19"/>
      <c r="F733" s="5"/>
      <c r="H733" s="19"/>
    </row>
    <row r="734">
      <c r="A734" s="44"/>
      <c r="C734" s="61"/>
      <c r="E734" s="19"/>
      <c r="F734" s="5"/>
      <c r="H734" s="19"/>
    </row>
    <row r="735">
      <c r="A735" s="44"/>
      <c r="C735" s="61"/>
      <c r="E735" s="19"/>
      <c r="F735" s="5"/>
      <c r="H735" s="19"/>
    </row>
    <row r="736">
      <c r="A736" s="44"/>
      <c r="C736" s="61"/>
      <c r="E736" s="19"/>
      <c r="F736" s="5"/>
      <c r="H736" s="19"/>
    </row>
    <row r="737">
      <c r="A737" s="44"/>
      <c r="C737" s="61"/>
      <c r="E737" s="19"/>
      <c r="F737" s="5"/>
      <c r="H737" s="19"/>
    </row>
    <row r="738">
      <c r="A738" s="44"/>
      <c r="C738" s="61"/>
      <c r="E738" s="19"/>
      <c r="F738" s="5"/>
      <c r="H738" s="19"/>
    </row>
    <row r="739">
      <c r="A739" s="44"/>
      <c r="C739" s="61"/>
      <c r="E739" s="19"/>
      <c r="F739" s="5"/>
      <c r="H739" s="19"/>
    </row>
    <row r="740">
      <c r="A740" s="44"/>
      <c r="C740" s="61"/>
      <c r="E740" s="19"/>
      <c r="F740" s="5"/>
      <c r="H740" s="19"/>
    </row>
    <row r="741">
      <c r="A741" s="44"/>
      <c r="C741" s="61"/>
      <c r="E741" s="19"/>
      <c r="F741" s="5"/>
      <c r="H741" s="19"/>
    </row>
    <row r="742">
      <c r="A742" s="44"/>
      <c r="C742" s="61"/>
      <c r="E742" s="19"/>
      <c r="F742" s="5"/>
      <c r="H742" s="19"/>
    </row>
    <row r="743">
      <c r="A743" s="44"/>
      <c r="C743" s="61"/>
      <c r="E743" s="19"/>
      <c r="F743" s="5"/>
      <c r="H743" s="19"/>
    </row>
    <row r="744">
      <c r="A744" s="44"/>
      <c r="C744" s="61"/>
      <c r="E744" s="19"/>
      <c r="F744" s="5"/>
      <c r="H744" s="19"/>
    </row>
    <row r="745">
      <c r="A745" s="44"/>
      <c r="C745" s="61"/>
      <c r="E745" s="19"/>
      <c r="F745" s="5"/>
      <c r="H745" s="19"/>
    </row>
    <row r="746">
      <c r="A746" s="44"/>
      <c r="C746" s="61"/>
      <c r="E746" s="19"/>
      <c r="F746" s="5"/>
      <c r="H746" s="19"/>
    </row>
    <row r="747">
      <c r="A747" s="44"/>
      <c r="C747" s="61"/>
      <c r="E747" s="19"/>
      <c r="F747" s="5"/>
      <c r="H747" s="19"/>
    </row>
    <row r="748">
      <c r="A748" s="44"/>
      <c r="C748" s="61"/>
      <c r="E748" s="19"/>
      <c r="F748" s="5"/>
      <c r="H748" s="19"/>
    </row>
    <row r="749">
      <c r="A749" s="44"/>
      <c r="C749" s="61"/>
      <c r="E749" s="19"/>
      <c r="F749" s="5"/>
      <c r="H749" s="19"/>
    </row>
    <row r="750">
      <c r="A750" s="44"/>
      <c r="C750" s="61"/>
      <c r="E750" s="19"/>
      <c r="F750" s="5"/>
      <c r="H750" s="19"/>
    </row>
    <row r="751">
      <c r="A751" s="44"/>
      <c r="C751" s="61"/>
      <c r="E751" s="19"/>
      <c r="F751" s="5"/>
      <c r="H751" s="19"/>
    </row>
    <row r="752">
      <c r="A752" s="44"/>
      <c r="C752" s="61"/>
      <c r="E752" s="19"/>
      <c r="F752" s="5"/>
      <c r="H752" s="19"/>
    </row>
    <row r="753">
      <c r="A753" s="44"/>
      <c r="C753" s="61"/>
      <c r="E753" s="19"/>
      <c r="F753" s="5"/>
      <c r="H753" s="19"/>
    </row>
    <row r="754">
      <c r="A754" s="44"/>
      <c r="C754" s="61"/>
      <c r="E754" s="19"/>
      <c r="F754" s="5"/>
      <c r="H754" s="19"/>
    </row>
    <row r="755">
      <c r="A755" s="44"/>
      <c r="C755" s="61"/>
      <c r="E755" s="19"/>
      <c r="F755" s="5"/>
      <c r="H755" s="19"/>
    </row>
    <row r="756">
      <c r="A756" s="44"/>
      <c r="C756" s="61"/>
      <c r="E756" s="19"/>
      <c r="F756" s="5"/>
      <c r="H756" s="19"/>
    </row>
    <row r="757">
      <c r="A757" s="44"/>
      <c r="C757" s="61"/>
      <c r="E757" s="19"/>
      <c r="F757" s="5"/>
      <c r="H757" s="19"/>
    </row>
    <row r="758">
      <c r="A758" s="44"/>
      <c r="C758" s="61"/>
      <c r="E758" s="19"/>
      <c r="F758" s="5"/>
      <c r="H758" s="19"/>
    </row>
    <row r="759">
      <c r="A759" s="44"/>
      <c r="C759" s="61"/>
      <c r="E759" s="19"/>
      <c r="F759" s="5"/>
      <c r="H759" s="19"/>
    </row>
    <row r="760">
      <c r="A760" s="44"/>
      <c r="C760" s="61"/>
      <c r="E760" s="19"/>
      <c r="F760" s="5"/>
      <c r="H760" s="19"/>
    </row>
    <row r="761">
      <c r="A761" s="44"/>
      <c r="C761" s="61"/>
      <c r="E761" s="19"/>
      <c r="F761" s="5"/>
      <c r="H761" s="19"/>
    </row>
    <row r="762">
      <c r="A762" s="44"/>
      <c r="C762" s="61"/>
      <c r="E762" s="19"/>
      <c r="F762" s="5"/>
      <c r="H762" s="19"/>
    </row>
    <row r="763">
      <c r="A763" s="44"/>
      <c r="C763" s="61"/>
      <c r="E763" s="19"/>
      <c r="F763" s="5"/>
      <c r="H763" s="19"/>
    </row>
    <row r="764">
      <c r="A764" s="44"/>
      <c r="C764" s="61"/>
      <c r="E764" s="19"/>
      <c r="F764" s="5"/>
      <c r="H764" s="19"/>
    </row>
    <row r="765">
      <c r="A765" s="44"/>
      <c r="C765" s="61"/>
      <c r="E765" s="19"/>
      <c r="F765" s="5"/>
      <c r="H765" s="19"/>
    </row>
    <row r="766">
      <c r="A766" s="44"/>
      <c r="C766" s="61"/>
      <c r="E766" s="19"/>
      <c r="F766" s="5"/>
      <c r="H766" s="19"/>
    </row>
    <row r="767">
      <c r="A767" s="44"/>
      <c r="C767" s="61"/>
      <c r="E767" s="19"/>
      <c r="F767" s="5"/>
      <c r="H767" s="19"/>
    </row>
    <row r="768">
      <c r="A768" s="44"/>
      <c r="C768" s="61"/>
      <c r="E768" s="19"/>
      <c r="F768" s="5"/>
      <c r="H768" s="19"/>
    </row>
    <row r="769">
      <c r="A769" s="44"/>
      <c r="C769" s="61"/>
      <c r="E769" s="19"/>
      <c r="F769" s="5"/>
      <c r="H769" s="19"/>
    </row>
    <row r="770">
      <c r="A770" s="44"/>
      <c r="C770" s="61"/>
      <c r="E770" s="19"/>
      <c r="F770" s="5"/>
      <c r="H770" s="19"/>
    </row>
    <row r="771">
      <c r="A771" s="44"/>
      <c r="C771" s="61"/>
      <c r="E771" s="19"/>
      <c r="F771" s="5"/>
      <c r="H771" s="19"/>
    </row>
    <row r="772">
      <c r="A772" s="44"/>
      <c r="C772" s="61"/>
      <c r="E772" s="19"/>
      <c r="F772" s="5"/>
      <c r="H772" s="19"/>
    </row>
    <row r="773">
      <c r="A773" s="44"/>
      <c r="C773" s="61"/>
      <c r="E773" s="19"/>
      <c r="F773" s="5"/>
      <c r="H773" s="19"/>
    </row>
    <row r="774">
      <c r="A774" s="44"/>
      <c r="C774" s="61"/>
      <c r="E774" s="19"/>
      <c r="F774" s="5"/>
      <c r="H774" s="19"/>
    </row>
    <row r="775">
      <c r="A775" s="44"/>
      <c r="C775" s="61"/>
      <c r="E775" s="19"/>
      <c r="F775" s="5"/>
      <c r="H775" s="19"/>
    </row>
    <row r="776">
      <c r="A776" s="44"/>
      <c r="C776" s="61"/>
      <c r="E776" s="19"/>
      <c r="F776" s="5"/>
      <c r="H776" s="19"/>
    </row>
    <row r="777">
      <c r="A777" s="44"/>
      <c r="C777" s="61"/>
      <c r="E777" s="19"/>
      <c r="F777" s="5"/>
      <c r="H777" s="19"/>
    </row>
    <row r="778">
      <c r="A778" s="44"/>
      <c r="C778" s="61"/>
      <c r="E778" s="19"/>
      <c r="F778" s="5"/>
      <c r="H778" s="19"/>
    </row>
    <row r="779">
      <c r="A779" s="44"/>
      <c r="C779" s="61"/>
      <c r="E779" s="19"/>
      <c r="F779" s="5"/>
      <c r="H779" s="19"/>
    </row>
    <row r="780">
      <c r="A780" s="44"/>
      <c r="C780" s="61"/>
      <c r="E780" s="19"/>
      <c r="F780" s="5"/>
      <c r="H780" s="19"/>
    </row>
    <row r="781">
      <c r="A781" s="44"/>
      <c r="C781" s="61"/>
      <c r="E781" s="19"/>
      <c r="F781" s="5"/>
      <c r="H781" s="19"/>
    </row>
    <row r="782">
      <c r="A782" s="44"/>
      <c r="C782" s="61"/>
      <c r="E782" s="19"/>
      <c r="F782" s="5"/>
      <c r="H782" s="19"/>
    </row>
    <row r="783">
      <c r="A783" s="44"/>
      <c r="C783" s="61"/>
      <c r="E783" s="19"/>
      <c r="F783" s="5"/>
      <c r="H783" s="19"/>
    </row>
    <row r="784">
      <c r="A784" s="44"/>
      <c r="C784" s="61"/>
      <c r="E784" s="19"/>
      <c r="F784" s="5"/>
      <c r="H784" s="19"/>
    </row>
    <row r="785">
      <c r="A785" s="44"/>
      <c r="C785" s="61"/>
      <c r="E785" s="19"/>
      <c r="F785" s="5"/>
      <c r="H785" s="19"/>
    </row>
    <row r="786">
      <c r="A786" s="44"/>
      <c r="C786" s="61"/>
      <c r="E786" s="19"/>
      <c r="F786" s="5"/>
      <c r="H786" s="19"/>
    </row>
    <row r="787">
      <c r="A787" s="44"/>
      <c r="C787" s="61"/>
      <c r="E787" s="19"/>
      <c r="F787" s="5"/>
      <c r="H787" s="19"/>
    </row>
    <row r="788">
      <c r="A788" s="44"/>
      <c r="C788" s="61"/>
      <c r="E788" s="19"/>
      <c r="F788" s="5"/>
      <c r="H788" s="19"/>
    </row>
    <row r="789">
      <c r="A789" s="44"/>
      <c r="C789" s="61"/>
      <c r="E789" s="19"/>
      <c r="F789" s="5"/>
      <c r="H789" s="19"/>
    </row>
    <row r="790">
      <c r="A790" s="44"/>
      <c r="C790" s="61"/>
      <c r="E790" s="19"/>
      <c r="F790" s="5"/>
      <c r="H790" s="19"/>
    </row>
    <row r="791">
      <c r="A791" s="44"/>
      <c r="C791" s="61"/>
      <c r="E791" s="19"/>
      <c r="F791" s="5"/>
      <c r="H791" s="19"/>
    </row>
    <row r="792">
      <c r="A792" s="44"/>
      <c r="C792" s="61"/>
      <c r="E792" s="19"/>
      <c r="F792" s="5"/>
      <c r="H792" s="19"/>
    </row>
    <row r="793">
      <c r="A793" s="44"/>
      <c r="C793" s="61"/>
      <c r="E793" s="19"/>
      <c r="F793" s="5"/>
      <c r="H793" s="19"/>
    </row>
    <row r="794">
      <c r="A794" s="44"/>
      <c r="C794" s="61"/>
      <c r="E794" s="19"/>
      <c r="F794" s="5"/>
      <c r="H794" s="19"/>
    </row>
    <row r="795">
      <c r="A795" s="44"/>
      <c r="C795" s="61"/>
      <c r="E795" s="19"/>
      <c r="F795" s="5"/>
      <c r="H795" s="19"/>
    </row>
    <row r="796">
      <c r="A796" s="44"/>
      <c r="C796" s="61"/>
      <c r="E796" s="19"/>
      <c r="F796" s="5"/>
      <c r="H796" s="19"/>
    </row>
    <row r="797">
      <c r="A797" s="44"/>
      <c r="C797" s="61"/>
      <c r="E797" s="19"/>
      <c r="F797" s="5"/>
      <c r="H797" s="19"/>
    </row>
    <row r="798">
      <c r="A798" s="44"/>
      <c r="C798" s="61"/>
      <c r="E798" s="19"/>
      <c r="F798" s="5"/>
      <c r="H798" s="19"/>
    </row>
    <row r="799">
      <c r="A799" s="44"/>
      <c r="C799" s="61"/>
      <c r="E799" s="19"/>
      <c r="F799" s="5"/>
      <c r="H799" s="19"/>
    </row>
    <row r="800">
      <c r="A800" s="44"/>
      <c r="C800" s="61"/>
      <c r="E800" s="19"/>
      <c r="F800" s="5"/>
      <c r="H800" s="19"/>
    </row>
    <row r="801">
      <c r="A801" s="44"/>
      <c r="C801" s="61"/>
      <c r="E801" s="19"/>
      <c r="F801" s="5"/>
      <c r="H801" s="19"/>
    </row>
    <row r="802">
      <c r="A802" s="44"/>
      <c r="C802" s="61"/>
      <c r="E802" s="19"/>
      <c r="F802" s="5"/>
      <c r="H802" s="19"/>
    </row>
    <row r="803">
      <c r="A803" s="44"/>
      <c r="C803" s="61"/>
      <c r="E803" s="19"/>
      <c r="F803" s="5"/>
      <c r="H803" s="19"/>
    </row>
    <row r="804">
      <c r="A804" s="44"/>
      <c r="C804" s="61"/>
      <c r="E804" s="19"/>
      <c r="F804" s="5"/>
      <c r="H804" s="19"/>
    </row>
    <row r="805">
      <c r="A805" s="44"/>
      <c r="C805" s="61"/>
      <c r="E805" s="19"/>
      <c r="F805" s="5"/>
      <c r="H805" s="19"/>
    </row>
    <row r="806">
      <c r="A806" s="44"/>
      <c r="C806" s="61"/>
      <c r="E806" s="19"/>
      <c r="F806" s="5"/>
      <c r="H806" s="19"/>
    </row>
    <row r="807">
      <c r="A807" s="44"/>
      <c r="C807" s="61"/>
      <c r="E807" s="19"/>
      <c r="F807" s="5"/>
      <c r="H807" s="19"/>
    </row>
    <row r="808">
      <c r="A808" s="44"/>
      <c r="C808" s="61"/>
      <c r="E808" s="19"/>
      <c r="F808" s="5"/>
      <c r="H808" s="19"/>
    </row>
    <row r="809">
      <c r="A809" s="44"/>
      <c r="C809" s="61"/>
      <c r="E809" s="19"/>
      <c r="F809" s="5"/>
      <c r="H809" s="19"/>
    </row>
    <row r="810">
      <c r="A810" s="44"/>
      <c r="C810" s="61"/>
      <c r="E810" s="19"/>
      <c r="F810" s="5"/>
      <c r="H810" s="19"/>
    </row>
    <row r="811">
      <c r="A811" s="44"/>
      <c r="C811" s="61"/>
      <c r="E811" s="19"/>
      <c r="F811" s="5"/>
      <c r="H811" s="19"/>
    </row>
    <row r="812">
      <c r="A812" s="44"/>
      <c r="C812" s="61"/>
      <c r="E812" s="19"/>
      <c r="F812" s="5"/>
      <c r="H812" s="19"/>
    </row>
    <row r="813">
      <c r="A813" s="44"/>
      <c r="C813" s="61"/>
      <c r="E813" s="19"/>
      <c r="F813" s="5"/>
      <c r="H813" s="19"/>
    </row>
    <row r="814">
      <c r="A814" s="44"/>
      <c r="C814" s="61"/>
      <c r="E814" s="19"/>
      <c r="F814" s="5"/>
      <c r="H814" s="19"/>
    </row>
    <row r="815">
      <c r="A815" s="44"/>
      <c r="C815" s="61"/>
      <c r="E815" s="19"/>
      <c r="F815" s="5"/>
      <c r="H815" s="19"/>
    </row>
    <row r="816">
      <c r="A816" s="44"/>
      <c r="C816" s="61"/>
      <c r="E816" s="19"/>
      <c r="F816" s="5"/>
      <c r="H816" s="19"/>
    </row>
    <row r="817">
      <c r="A817" s="44"/>
      <c r="C817" s="61"/>
      <c r="E817" s="19"/>
      <c r="F817" s="5"/>
      <c r="H817" s="19"/>
    </row>
    <row r="818">
      <c r="A818" s="44"/>
      <c r="C818" s="61"/>
      <c r="E818" s="19"/>
      <c r="F818" s="5"/>
      <c r="H818" s="19"/>
    </row>
    <row r="819">
      <c r="A819" s="44"/>
      <c r="C819" s="61"/>
      <c r="E819" s="19"/>
      <c r="F819" s="5"/>
      <c r="H819" s="19"/>
    </row>
    <row r="820">
      <c r="A820" s="44"/>
      <c r="C820" s="61"/>
      <c r="E820" s="19"/>
      <c r="F820" s="5"/>
      <c r="H820" s="19"/>
    </row>
    <row r="821">
      <c r="A821" s="44"/>
      <c r="C821" s="61"/>
      <c r="E821" s="19"/>
      <c r="F821" s="5"/>
      <c r="H821" s="19"/>
    </row>
    <row r="822">
      <c r="A822" s="44"/>
      <c r="C822" s="61"/>
      <c r="E822" s="19"/>
      <c r="F822" s="5"/>
      <c r="H822" s="19"/>
    </row>
    <row r="823">
      <c r="A823" s="44"/>
      <c r="C823" s="61"/>
      <c r="E823" s="19"/>
      <c r="F823" s="5"/>
      <c r="H823" s="19"/>
    </row>
    <row r="824">
      <c r="A824" s="44"/>
      <c r="C824" s="61"/>
      <c r="E824" s="19"/>
      <c r="F824" s="5"/>
      <c r="H824" s="19"/>
    </row>
    <row r="825">
      <c r="A825" s="44"/>
      <c r="C825" s="61"/>
      <c r="E825" s="19"/>
      <c r="F825" s="5"/>
      <c r="H825" s="19"/>
    </row>
    <row r="826">
      <c r="A826" s="44"/>
      <c r="C826" s="61"/>
      <c r="E826" s="19"/>
      <c r="F826" s="5"/>
      <c r="H826" s="19"/>
    </row>
    <row r="827">
      <c r="A827" s="44"/>
      <c r="C827" s="61"/>
      <c r="E827" s="19"/>
      <c r="F827" s="5"/>
      <c r="H827" s="19"/>
    </row>
    <row r="828">
      <c r="A828" s="44"/>
      <c r="C828" s="61"/>
      <c r="E828" s="19"/>
      <c r="F828" s="5"/>
      <c r="H828" s="19"/>
    </row>
    <row r="829">
      <c r="A829" s="44"/>
      <c r="C829" s="61"/>
      <c r="E829" s="19"/>
      <c r="F829" s="5"/>
      <c r="H829" s="19"/>
    </row>
    <row r="830">
      <c r="A830" s="44"/>
      <c r="C830" s="61"/>
      <c r="E830" s="19"/>
      <c r="F830" s="5"/>
      <c r="H830" s="19"/>
    </row>
    <row r="831">
      <c r="A831" s="44"/>
      <c r="C831" s="61"/>
      <c r="E831" s="19"/>
      <c r="F831" s="5"/>
      <c r="H831" s="19"/>
    </row>
    <row r="832">
      <c r="A832" s="44"/>
      <c r="C832" s="61"/>
      <c r="E832" s="19"/>
      <c r="F832" s="5"/>
      <c r="H832" s="19"/>
    </row>
    <row r="833">
      <c r="A833" s="44"/>
      <c r="C833" s="61"/>
      <c r="E833" s="19"/>
      <c r="F833" s="5"/>
      <c r="H833" s="19"/>
    </row>
    <row r="834">
      <c r="A834" s="44"/>
      <c r="C834" s="61"/>
      <c r="E834" s="19"/>
      <c r="F834" s="5"/>
      <c r="H834" s="19"/>
    </row>
    <row r="835">
      <c r="A835" s="44"/>
      <c r="C835" s="61"/>
      <c r="E835" s="19"/>
      <c r="F835" s="5"/>
      <c r="H835" s="19"/>
    </row>
    <row r="836">
      <c r="A836" s="44"/>
      <c r="C836" s="61"/>
      <c r="E836" s="19"/>
      <c r="F836" s="5"/>
      <c r="H836" s="19"/>
    </row>
    <row r="837">
      <c r="A837" s="44"/>
      <c r="C837" s="61"/>
      <c r="E837" s="19"/>
      <c r="F837" s="5"/>
      <c r="H837" s="19"/>
    </row>
    <row r="838">
      <c r="A838" s="44"/>
      <c r="C838" s="61"/>
      <c r="E838" s="19"/>
      <c r="F838" s="5"/>
      <c r="H838" s="19"/>
    </row>
    <row r="839">
      <c r="A839" s="44"/>
      <c r="C839" s="61"/>
      <c r="E839" s="19"/>
      <c r="F839" s="5"/>
      <c r="H839" s="19"/>
    </row>
    <row r="840">
      <c r="A840" s="44"/>
      <c r="C840" s="61"/>
      <c r="E840" s="19"/>
      <c r="F840" s="5"/>
      <c r="H840" s="19"/>
    </row>
    <row r="841">
      <c r="A841" s="44"/>
      <c r="C841" s="61"/>
      <c r="E841" s="19"/>
      <c r="F841" s="5"/>
      <c r="H841" s="19"/>
    </row>
    <row r="842">
      <c r="A842" s="44"/>
      <c r="C842" s="61"/>
      <c r="E842" s="19"/>
      <c r="F842" s="5"/>
      <c r="H842" s="19"/>
    </row>
    <row r="843">
      <c r="A843" s="44"/>
      <c r="C843" s="61"/>
      <c r="E843" s="19"/>
      <c r="F843" s="5"/>
      <c r="H843" s="19"/>
    </row>
    <row r="844">
      <c r="A844" s="44"/>
      <c r="C844" s="61"/>
      <c r="E844" s="19"/>
      <c r="F844" s="5"/>
      <c r="H844" s="19"/>
    </row>
    <row r="845">
      <c r="A845" s="44"/>
      <c r="C845" s="61"/>
      <c r="E845" s="19"/>
      <c r="F845" s="5"/>
      <c r="H845" s="19"/>
    </row>
    <row r="846">
      <c r="A846" s="44"/>
      <c r="C846" s="61"/>
      <c r="E846" s="19"/>
      <c r="F846" s="5"/>
      <c r="H846" s="19"/>
    </row>
    <row r="847">
      <c r="A847" s="44"/>
      <c r="C847" s="61"/>
      <c r="E847" s="19"/>
      <c r="F847" s="5"/>
      <c r="H847" s="19"/>
    </row>
    <row r="848">
      <c r="A848" s="44"/>
      <c r="C848" s="61"/>
      <c r="E848" s="19"/>
      <c r="F848" s="5"/>
      <c r="H848" s="19"/>
    </row>
    <row r="849">
      <c r="A849" s="44"/>
      <c r="C849" s="61"/>
      <c r="E849" s="19"/>
      <c r="F849" s="5"/>
      <c r="H849" s="19"/>
    </row>
    <row r="850">
      <c r="A850" s="44"/>
      <c r="C850" s="61"/>
      <c r="E850" s="19"/>
      <c r="F850" s="5"/>
      <c r="H850" s="19"/>
    </row>
    <row r="851">
      <c r="A851" s="44"/>
      <c r="C851" s="61"/>
      <c r="E851" s="19"/>
      <c r="F851" s="5"/>
      <c r="H851" s="19"/>
    </row>
    <row r="852">
      <c r="A852" s="44"/>
      <c r="C852" s="61"/>
      <c r="E852" s="19"/>
      <c r="F852" s="5"/>
      <c r="H852" s="19"/>
    </row>
    <row r="853">
      <c r="A853" s="44"/>
      <c r="C853" s="61"/>
      <c r="E853" s="19"/>
      <c r="F853" s="5"/>
      <c r="H853" s="19"/>
    </row>
    <row r="854">
      <c r="A854" s="44"/>
      <c r="C854" s="61"/>
      <c r="E854" s="19"/>
      <c r="F854" s="5"/>
      <c r="H854" s="19"/>
    </row>
    <row r="855">
      <c r="A855" s="44"/>
      <c r="C855" s="61"/>
      <c r="E855" s="19"/>
      <c r="F855" s="5"/>
      <c r="H855" s="19"/>
    </row>
    <row r="856">
      <c r="A856" s="44"/>
      <c r="C856" s="61"/>
      <c r="E856" s="19"/>
      <c r="F856" s="5"/>
      <c r="H856" s="19"/>
    </row>
    <row r="857">
      <c r="A857" s="44"/>
      <c r="C857" s="61"/>
      <c r="E857" s="19"/>
      <c r="F857" s="5"/>
      <c r="H857" s="19"/>
    </row>
    <row r="858">
      <c r="A858" s="44"/>
      <c r="C858" s="61"/>
      <c r="E858" s="19"/>
      <c r="F858" s="5"/>
      <c r="H858" s="19"/>
    </row>
    <row r="859">
      <c r="A859" s="44"/>
      <c r="C859" s="61"/>
      <c r="E859" s="19"/>
      <c r="F859" s="5"/>
      <c r="H859" s="19"/>
    </row>
    <row r="860">
      <c r="A860" s="44"/>
      <c r="C860" s="61"/>
      <c r="E860" s="19"/>
      <c r="F860" s="5"/>
      <c r="H860" s="19"/>
    </row>
    <row r="861">
      <c r="A861" s="44"/>
      <c r="C861" s="61"/>
      <c r="E861" s="19"/>
      <c r="F861" s="5"/>
      <c r="H861" s="19"/>
    </row>
    <row r="862">
      <c r="A862" s="44"/>
      <c r="C862" s="61"/>
      <c r="E862" s="19"/>
      <c r="F862" s="5"/>
      <c r="H862" s="19"/>
    </row>
    <row r="863">
      <c r="A863" s="44"/>
      <c r="C863" s="61"/>
      <c r="E863" s="19"/>
      <c r="F863" s="5"/>
      <c r="H863" s="19"/>
    </row>
    <row r="864">
      <c r="A864" s="44"/>
      <c r="C864" s="61"/>
      <c r="E864" s="19"/>
      <c r="F864" s="5"/>
      <c r="H864" s="19"/>
    </row>
    <row r="865">
      <c r="A865" s="44"/>
      <c r="C865" s="61"/>
      <c r="E865" s="19"/>
      <c r="F865" s="5"/>
      <c r="H865" s="19"/>
    </row>
    <row r="866">
      <c r="A866" s="44"/>
      <c r="C866" s="61"/>
      <c r="E866" s="19"/>
      <c r="F866" s="5"/>
      <c r="H866" s="19"/>
    </row>
    <row r="867">
      <c r="A867" s="44"/>
      <c r="C867" s="61"/>
      <c r="E867" s="19"/>
      <c r="F867" s="5"/>
      <c r="H867" s="19"/>
    </row>
    <row r="868">
      <c r="A868" s="44"/>
      <c r="C868" s="61"/>
      <c r="E868" s="19"/>
      <c r="F868" s="5"/>
      <c r="H868" s="19"/>
    </row>
    <row r="869">
      <c r="A869" s="44"/>
      <c r="C869" s="61"/>
      <c r="E869" s="19"/>
      <c r="F869" s="5"/>
      <c r="H869" s="19"/>
    </row>
    <row r="870">
      <c r="A870" s="44"/>
      <c r="C870" s="61"/>
      <c r="E870" s="19"/>
      <c r="F870" s="5"/>
      <c r="H870" s="19"/>
    </row>
    <row r="871">
      <c r="A871" s="44"/>
      <c r="C871" s="61"/>
      <c r="E871" s="19"/>
      <c r="F871" s="5"/>
      <c r="H871" s="19"/>
    </row>
    <row r="872">
      <c r="A872" s="44"/>
      <c r="C872" s="61"/>
      <c r="E872" s="19"/>
      <c r="F872" s="5"/>
      <c r="H872" s="19"/>
    </row>
    <row r="873">
      <c r="A873" s="44"/>
      <c r="C873" s="61"/>
      <c r="E873" s="19"/>
      <c r="F873" s="5"/>
      <c r="H873" s="19"/>
    </row>
    <row r="874">
      <c r="A874" s="44"/>
      <c r="C874" s="61"/>
      <c r="E874" s="19"/>
      <c r="F874" s="5"/>
      <c r="H874" s="19"/>
    </row>
    <row r="875">
      <c r="A875" s="44"/>
      <c r="C875" s="61"/>
      <c r="E875" s="19"/>
      <c r="F875" s="5"/>
      <c r="H875" s="19"/>
    </row>
    <row r="876">
      <c r="A876" s="44"/>
      <c r="C876" s="61"/>
      <c r="E876" s="19"/>
      <c r="F876" s="5"/>
      <c r="H876" s="19"/>
    </row>
    <row r="877">
      <c r="A877" s="44"/>
      <c r="C877" s="61"/>
      <c r="E877" s="19"/>
      <c r="F877" s="5"/>
      <c r="H877" s="19"/>
    </row>
    <row r="878">
      <c r="A878" s="44"/>
      <c r="C878" s="61"/>
      <c r="E878" s="19"/>
      <c r="F878" s="5"/>
      <c r="H878" s="19"/>
    </row>
    <row r="879">
      <c r="A879" s="44"/>
      <c r="C879" s="61"/>
      <c r="E879" s="19"/>
      <c r="F879" s="5"/>
      <c r="H879" s="19"/>
    </row>
    <row r="880">
      <c r="A880" s="44"/>
      <c r="C880" s="61"/>
      <c r="E880" s="19"/>
      <c r="F880" s="5"/>
      <c r="H880" s="19"/>
    </row>
    <row r="881">
      <c r="A881" s="44"/>
      <c r="C881" s="61"/>
      <c r="E881" s="19"/>
      <c r="F881" s="5"/>
      <c r="H881" s="19"/>
    </row>
    <row r="882">
      <c r="A882" s="44"/>
      <c r="C882" s="61"/>
      <c r="E882" s="19"/>
      <c r="F882" s="5"/>
      <c r="H882" s="19"/>
    </row>
    <row r="883">
      <c r="A883" s="44"/>
      <c r="C883" s="61"/>
      <c r="E883" s="19"/>
      <c r="F883" s="5"/>
      <c r="H883" s="19"/>
    </row>
    <row r="884">
      <c r="A884" s="44"/>
      <c r="C884" s="61"/>
      <c r="E884" s="19"/>
      <c r="F884" s="5"/>
      <c r="H884" s="19"/>
    </row>
    <row r="885">
      <c r="A885" s="44"/>
      <c r="C885" s="61"/>
      <c r="E885" s="19"/>
      <c r="F885" s="5"/>
      <c r="H885" s="19"/>
    </row>
    <row r="886">
      <c r="A886" s="44"/>
      <c r="C886" s="61"/>
      <c r="E886" s="19"/>
      <c r="F886" s="5"/>
      <c r="H886" s="19"/>
    </row>
    <row r="887">
      <c r="A887" s="44"/>
      <c r="C887" s="61"/>
      <c r="E887" s="19"/>
      <c r="F887" s="5"/>
      <c r="H887" s="19"/>
    </row>
    <row r="888">
      <c r="A888" s="44"/>
      <c r="C888" s="61"/>
      <c r="E888" s="19"/>
      <c r="F888" s="5"/>
      <c r="H888" s="19"/>
    </row>
    <row r="889">
      <c r="A889" s="44"/>
      <c r="C889" s="61"/>
      <c r="E889" s="19"/>
      <c r="F889" s="5"/>
      <c r="H889" s="19"/>
    </row>
    <row r="890">
      <c r="A890" s="44"/>
      <c r="C890" s="61"/>
      <c r="E890" s="19"/>
      <c r="F890" s="5"/>
      <c r="H890" s="19"/>
    </row>
    <row r="891">
      <c r="A891" s="44"/>
      <c r="C891" s="61"/>
      <c r="E891" s="19"/>
      <c r="F891" s="5"/>
      <c r="H891" s="19"/>
    </row>
    <row r="892">
      <c r="A892" s="44"/>
      <c r="C892" s="61"/>
      <c r="E892" s="19"/>
      <c r="F892" s="5"/>
      <c r="H892" s="19"/>
    </row>
    <row r="893">
      <c r="A893" s="44"/>
      <c r="C893" s="61"/>
      <c r="E893" s="19"/>
      <c r="F893" s="5"/>
      <c r="H893" s="19"/>
    </row>
    <row r="894">
      <c r="A894" s="44"/>
      <c r="C894" s="61"/>
      <c r="E894" s="19"/>
      <c r="F894" s="5"/>
      <c r="H894" s="19"/>
    </row>
    <row r="895">
      <c r="A895" s="44"/>
      <c r="C895" s="61"/>
      <c r="E895" s="19"/>
      <c r="F895" s="5"/>
      <c r="H895" s="19"/>
    </row>
    <row r="896">
      <c r="A896" s="44"/>
      <c r="C896" s="61"/>
      <c r="E896" s="19"/>
      <c r="F896" s="5"/>
      <c r="H896" s="19"/>
    </row>
    <row r="897">
      <c r="A897" s="44"/>
      <c r="C897" s="61"/>
      <c r="E897" s="19"/>
      <c r="F897" s="5"/>
      <c r="H897" s="19"/>
    </row>
    <row r="898">
      <c r="A898" s="44"/>
      <c r="C898" s="61"/>
      <c r="E898" s="19"/>
      <c r="F898" s="5"/>
      <c r="H898" s="19"/>
    </row>
    <row r="899">
      <c r="A899" s="44"/>
      <c r="C899" s="61"/>
      <c r="E899" s="19"/>
      <c r="F899" s="5"/>
      <c r="H899" s="19"/>
    </row>
    <row r="900">
      <c r="A900" s="44"/>
      <c r="C900" s="61"/>
      <c r="E900" s="19"/>
      <c r="F900" s="5"/>
      <c r="H900" s="19"/>
    </row>
    <row r="901">
      <c r="A901" s="44"/>
      <c r="C901" s="61"/>
      <c r="E901" s="19"/>
      <c r="F901" s="5"/>
      <c r="H901" s="19"/>
    </row>
    <row r="902">
      <c r="A902" s="44"/>
      <c r="C902" s="61"/>
      <c r="E902" s="19"/>
      <c r="F902" s="5"/>
      <c r="H902" s="19"/>
    </row>
    <row r="903">
      <c r="A903" s="44"/>
      <c r="C903" s="61"/>
      <c r="E903" s="19"/>
      <c r="F903" s="5"/>
      <c r="H903" s="19"/>
    </row>
    <row r="904">
      <c r="A904" s="44"/>
      <c r="C904" s="61"/>
      <c r="E904" s="19"/>
      <c r="F904" s="5"/>
      <c r="H904" s="19"/>
    </row>
    <row r="905">
      <c r="A905" s="44"/>
      <c r="C905" s="61"/>
      <c r="E905" s="19"/>
      <c r="F905" s="5"/>
      <c r="H905" s="19"/>
    </row>
    <row r="906">
      <c r="A906" s="44"/>
      <c r="C906" s="61"/>
      <c r="E906" s="19"/>
      <c r="F906" s="5"/>
      <c r="H906" s="19"/>
    </row>
    <row r="907">
      <c r="A907" s="44"/>
      <c r="C907" s="61"/>
      <c r="E907" s="19"/>
      <c r="F907" s="5"/>
      <c r="H907" s="19"/>
    </row>
    <row r="908">
      <c r="A908" s="44"/>
      <c r="C908" s="61"/>
      <c r="E908" s="19"/>
      <c r="F908" s="5"/>
      <c r="H908" s="19"/>
    </row>
    <row r="909">
      <c r="A909" s="44"/>
      <c r="C909" s="61"/>
      <c r="E909" s="19"/>
      <c r="F909" s="5"/>
      <c r="H909" s="19"/>
    </row>
    <row r="910">
      <c r="A910" s="44"/>
      <c r="C910" s="61"/>
      <c r="E910" s="19"/>
      <c r="F910" s="5"/>
      <c r="H910" s="19"/>
    </row>
    <row r="911">
      <c r="A911" s="44"/>
      <c r="C911" s="61"/>
      <c r="E911" s="19"/>
      <c r="F911" s="5"/>
      <c r="H911" s="19"/>
    </row>
    <row r="912">
      <c r="A912" s="44"/>
      <c r="C912" s="61"/>
      <c r="E912" s="19"/>
      <c r="F912" s="5"/>
      <c r="H912" s="19"/>
    </row>
    <row r="913">
      <c r="A913" s="44"/>
      <c r="C913" s="61"/>
      <c r="E913" s="19"/>
      <c r="F913" s="5"/>
      <c r="H913" s="19"/>
    </row>
    <row r="914">
      <c r="A914" s="44"/>
      <c r="C914" s="61"/>
      <c r="E914" s="19"/>
      <c r="F914" s="5"/>
      <c r="H914" s="19"/>
    </row>
    <row r="915">
      <c r="A915" s="44"/>
      <c r="C915" s="61"/>
      <c r="E915" s="19"/>
      <c r="F915" s="5"/>
      <c r="H915" s="19"/>
    </row>
    <row r="916">
      <c r="A916" s="44"/>
      <c r="C916" s="61"/>
      <c r="E916" s="19"/>
      <c r="F916" s="5"/>
      <c r="H916" s="19"/>
    </row>
    <row r="917">
      <c r="A917" s="44"/>
      <c r="C917" s="61"/>
      <c r="E917" s="19"/>
      <c r="F917" s="5"/>
      <c r="H917" s="19"/>
    </row>
    <row r="918">
      <c r="A918" s="44"/>
      <c r="C918" s="61"/>
      <c r="E918" s="19"/>
      <c r="F918" s="5"/>
      <c r="H918" s="19"/>
    </row>
    <row r="919">
      <c r="A919" s="44"/>
      <c r="C919" s="61"/>
      <c r="E919" s="19"/>
      <c r="F919" s="5"/>
      <c r="H919" s="19"/>
    </row>
    <row r="920">
      <c r="A920" s="44"/>
      <c r="C920" s="61"/>
      <c r="E920" s="19"/>
      <c r="F920" s="5"/>
      <c r="H920" s="19"/>
    </row>
    <row r="921">
      <c r="A921" s="44"/>
      <c r="C921" s="61"/>
      <c r="E921" s="19"/>
      <c r="F921" s="5"/>
      <c r="H921" s="19"/>
    </row>
    <row r="922">
      <c r="A922" s="44"/>
      <c r="C922" s="61"/>
      <c r="E922" s="19"/>
      <c r="F922" s="5"/>
      <c r="H922" s="19"/>
    </row>
    <row r="923">
      <c r="A923" s="44"/>
      <c r="C923" s="61"/>
      <c r="E923" s="19"/>
      <c r="F923" s="5"/>
      <c r="H923" s="19"/>
    </row>
    <row r="924">
      <c r="A924" s="44"/>
      <c r="C924" s="61"/>
      <c r="E924" s="19"/>
      <c r="F924" s="5"/>
      <c r="H924" s="19"/>
    </row>
    <row r="925">
      <c r="A925" s="44"/>
      <c r="C925" s="61"/>
      <c r="E925" s="19"/>
      <c r="F925" s="5"/>
      <c r="H925" s="19"/>
    </row>
    <row r="926">
      <c r="A926" s="44"/>
      <c r="C926" s="61"/>
      <c r="E926" s="19"/>
      <c r="F926" s="5"/>
      <c r="H926" s="19"/>
    </row>
    <row r="927">
      <c r="A927" s="44"/>
      <c r="C927" s="61"/>
      <c r="E927" s="19"/>
      <c r="F927" s="5"/>
      <c r="H927" s="19"/>
    </row>
    <row r="928">
      <c r="A928" s="44"/>
      <c r="C928" s="61"/>
      <c r="E928" s="19"/>
      <c r="F928" s="5"/>
      <c r="H928" s="19"/>
    </row>
    <row r="929">
      <c r="A929" s="44"/>
      <c r="C929" s="61"/>
      <c r="E929" s="19"/>
      <c r="F929" s="5"/>
      <c r="H929" s="19"/>
    </row>
    <row r="930">
      <c r="A930" s="44"/>
      <c r="C930" s="61"/>
      <c r="E930" s="19"/>
      <c r="F930" s="5"/>
      <c r="H930" s="19"/>
    </row>
    <row r="931">
      <c r="A931" s="44"/>
      <c r="C931" s="61"/>
      <c r="E931" s="19"/>
      <c r="F931" s="5"/>
      <c r="H931" s="19"/>
    </row>
    <row r="932">
      <c r="A932" s="44"/>
      <c r="C932" s="61"/>
      <c r="E932" s="19"/>
      <c r="F932" s="5"/>
      <c r="H932" s="19"/>
    </row>
    <row r="933">
      <c r="A933" s="44"/>
      <c r="C933" s="61"/>
      <c r="E933" s="19"/>
      <c r="F933" s="5"/>
      <c r="H933" s="19"/>
    </row>
    <row r="934">
      <c r="A934" s="44"/>
      <c r="C934" s="61"/>
      <c r="E934" s="19"/>
      <c r="F934" s="5"/>
      <c r="H934" s="19"/>
    </row>
    <row r="935">
      <c r="A935" s="44"/>
      <c r="C935" s="61"/>
      <c r="E935" s="19"/>
      <c r="F935" s="5"/>
      <c r="H935" s="19"/>
    </row>
    <row r="936">
      <c r="A936" s="44"/>
      <c r="C936" s="61"/>
      <c r="E936" s="19"/>
      <c r="F936" s="5"/>
      <c r="H936" s="19"/>
    </row>
    <row r="937">
      <c r="A937" s="44"/>
      <c r="C937" s="61"/>
      <c r="E937" s="19"/>
      <c r="F937" s="5"/>
      <c r="H937" s="19"/>
    </row>
    <row r="938">
      <c r="A938" s="44"/>
      <c r="C938" s="61"/>
      <c r="E938" s="19"/>
      <c r="F938" s="5"/>
      <c r="H938" s="19"/>
    </row>
    <row r="939">
      <c r="A939" s="44"/>
      <c r="C939" s="61"/>
      <c r="E939" s="19"/>
      <c r="F939" s="5"/>
      <c r="H939" s="19"/>
    </row>
    <row r="940">
      <c r="A940" s="44"/>
      <c r="C940" s="61"/>
      <c r="E940" s="19"/>
      <c r="F940" s="5"/>
      <c r="H940" s="19"/>
    </row>
    <row r="941">
      <c r="A941" s="44"/>
      <c r="C941" s="61"/>
      <c r="E941" s="19"/>
      <c r="F941" s="5"/>
      <c r="H941" s="19"/>
    </row>
    <row r="942">
      <c r="A942" s="44"/>
      <c r="C942" s="61"/>
      <c r="E942" s="19"/>
      <c r="F942" s="5"/>
      <c r="H942" s="19"/>
    </row>
    <row r="943">
      <c r="A943" s="44"/>
      <c r="C943" s="61"/>
      <c r="E943" s="19"/>
      <c r="F943" s="5"/>
      <c r="H943" s="19"/>
    </row>
    <row r="944">
      <c r="A944" s="44"/>
      <c r="C944" s="61"/>
      <c r="E944" s="19"/>
      <c r="F944" s="5"/>
      <c r="H944" s="19"/>
    </row>
    <row r="945">
      <c r="A945" s="44"/>
      <c r="C945" s="61"/>
      <c r="E945" s="19"/>
      <c r="F945" s="5"/>
      <c r="H945" s="19"/>
    </row>
    <row r="946">
      <c r="A946" s="44"/>
      <c r="C946" s="61"/>
      <c r="E946" s="19"/>
      <c r="F946" s="5"/>
      <c r="H946" s="19"/>
    </row>
    <row r="947">
      <c r="A947" s="44"/>
      <c r="C947" s="61"/>
      <c r="E947" s="19"/>
      <c r="F947" s="5"/>
      <c r="H947" s="19"/>
    </row>
    <row r="948">
      <c r="A948" s="44"/>
      <c r="C948" s="61"/>
      <c r="E948" s="19"/>
      <c r="F948" s="5"/>
      <c r="H948" s="19"/>
    </row>
    <row r="949">
      <c r="A949" s="44"/>
      <c r="C949" s="61"/>
      <c r="E949" s="19"/>
      <c r="F949" s="5"/>
      <c r="H949" s="19"/>
    </row>
    <row r="950">
      <c r="A950" s="44"/>
      <c r="C950" s="61"/>
      <c r="E950" s="19"/>
      <c r="F950" s="5"/>
      <c r="H950" s="19"/>
    </row>
    <row r="951">
      <c r="A951" s="44"/>
      <c r="C951" s="61"/>
      <c r="E951" s="19"/>
      <c r="F951" s="5"/>
      <c r="H951" s="19"/>
    </row>
    <row r="952">
      <c r="A952" s="44"/>
      <c r="C952" s="61"/>
      <c r="E952" s="19"/>
      <c r="F952" s="5"/>
      <c r="H952" s="19"/>
    </row>
    <row r="953">
      <c r="A953" s="44"/>
      <c r="C953" s="61"/>
      <c r="E953" s="19"/>
      <c r="F953" s="5"/>
      <c r="H953" s="19"/>
    </row>
    <row r="954">
      <c r="A954" s="44"/>
      <c r="C954" s="61"/>
      <c r="E954" s="19"/>
      <c r="F954" s="5"/>
      <c r="H954" s="19"/>
    </row>
    <row r="955">
      <c r="A955" s="44"/>
      <c r="C955" s="61"/>
      <c r="E955" s="19"/>
      <c r="F955" s="5"/>
      <c r="H955" s="19"/>
    </row>
    <row r="956">
      <c r="A956" s="44"/>
      <c r="C956" s="61"/>
      <c r="E956" s="19"/>
      <c r="F956" s="5"/>
      <c r="H956" s="19"/>
    </row>
    <row r="957">
      <c r="A957" s="44"/>
      <c r="C957" s="61"/>
      <c r="E957" s="19"/>
      <c r="F957" s="5"/>
      <c r="H957" s="19"/>
    </row>
    <row r="958">
      <c r="A958" s="44"/>
      <c r="C958" s="61"/>
      <c r="E958" s="19"/>
      <c r="F958" s="5"/>
      <c r="H958" s="19"/>
    </row>
    <row r="959">
      <c r="A959" s="44"/>
      <c r="C959" s="61"/>
      <c r="E959" s="19"/>
      <c r="F959" s="5"/>
      <c r="H959" s="19"/>
    </row>
    <row r="960">
      <c r="A960" s="44"/>
      <c r="C960" s="61"/>
      <c r="E960" s="19"/>
      <c r="F960" s="5"/>
      <c r="H960" s="19"/>
    </row>
    <row r="961">
      <c r="A961" s="44"/>
      <c r="C961" s="61"/>
      <c r="E961" s="19"/>
      <c r="F961" s="5"/>
      <c r="H961" s="19"/>
    </row>
    <row r="962">
      <c r="A962" s="44"/>
      <c r="C962" s="61"/>
      <c r="E962" s="19"/>
      <c r="F962" s="5"/>
      <c r="H962" s="19"/>
    </row>
    <row r="963">
      <c r="A963" s="44"/>
      <c r="C963" s="61"/>
      <c r="E963" s="19"/>
      <c r="F963" s="5"/>
      <c r="H963" s="19"/>
    </row>
    <row r="964">
      <c r="A964" s="44"/>
      <c r="C964" s="61"/>
      <c r="E964" s="19"/>
      <c r="F964" s="5"/>
      <c r="H964" s="19"/>
    </row>
    <row r="965">
      <c r="A965" s="44"/>
      <c r="C965" s="61"/>
      <c r="E965" s="19"/>
      <c r="F965" s="5"/>
      <c r="H965" s="19"/>
    </row>
    <row r="966">
      <c r="A966" s="44"/>
      <c r="C966" s="61"/>
      <c r="E966" s="19"/>
      <c r="F966" s="5"/>
      <c r="H966" s="19"/>
    </row>
    <row r="967">
      <c r="A967" s="44"/>
      <c r="C967" s="61"/>
      <c r="E967" s="19"/>
      <c r="F967" s="5"/>
      <c r="H967" s="19"/>
    </row>
    <row r="968">
      <c r="A968" s="44"/>
      <c r="C968" s="61"/>
      <c r="E968" s="19"/>
      <c r="F968" s="5"/>
      <c r="H968" s="19"/>
    </row>
    <row r="969">
      <c r="A969" s="44"/>
      <c r="C969" s="61"/>
      <c r="E969" s="19"/>
      <c r="F969" s="5"/>
      <c r="H969" s="19"/>
    </row>
    <row r="970">
      <c r="A970" s="44"/>
      <c r="C970" s="61"/>
      <c r="E970" s="19"/>
      <c r="F970" s="5"/>
      <c r="H970" s="19"/>
    </row>
    <row r="971">
      <c r="A971" s="44"/>
      <c r="C971" s="61"/>
      <c r="E971" s="19"/>
      <c r="F971" s="5"/>
      <c r="H971" s="19"/>
    </row>
    <row r="972">
      <c r="A972" s="44"/>
      <c r="C972" s="61"/>
      <c r="E972" s="19"/>
      <c r="F972" s="5"/>
      <c r="H972" s="19"/>
    </row>
    <row r="973">
      <c r="A973" s="44"/>
      <c r="C973" s="61"/>
      <c r="E973" s="19"/>
      <c r="F973" s="5"/>
      <c r="H973" s="19"/>
    </row>
    <row r="974">
      <c r="A974" s="44"/>
      <c r="C974" s="61"/>
      <c r="E974" s="19"/>
      <c r="F974" s="5"/>
      <c r="H974" s="19"/>
    </row>
    <row r="975">
      <c r="A975" s="44"/>
      <c r="C975" s="61"/>
      <c r="E975" s="19"/>
      <c r="F975" s="5"/>
      <c r="H975" s="19"/>
    </row>
    <row r="976">
      <c r="A976" s="44"/>
      <c r="C976" s="61"/>
      <c r="E976" s="19"/>
      <c r="F976" s="5"/>
      <c r="H976" s="19"/>
    </row>
    <row r="977">
      <c r="A977" s="44"/>
      <c r="C977" s="61"/>
      <c r="E977" s="19"/>
      <c r="F977" s="5"/>
      <c r="H977" s="19"/>
    </row>
    <row r="978">
      <c r="A978" s="44"/>
      <c r="C978" s="61"/>
      <c r="E978" s="19"/>
      <c r="F978" s="5"/>
      <c r="H978" s="19"/>
    </row>
    <row r="979">
      <c r="A979" s="44"/>
      <c r="C979" s="61"/>
      <c r="E979" s="19"/>
      <c r="F979" s="5"/>
      <c r="H979" s="19"/>
    </row>
    <row r="980">
      <c r="A980" s="44"/>
      <c r="C980" s="61"/>
      <c r="E980" s="19"/>
      <c r="F980" s="5"/>
      <c r="H980" s="19"/>
    </row>
    <row r="981">
      <c r="A981" s="44"/>
      <c r="C981" s="61"/>
      <c r="E981" s="19"/>
      <c r="F981" s="5"/>
      <c r="H981" s="19"/>
    </row>
    <row r="982">
      <c r="A982" s="44"/>
      <c r="C982" s="61"/>
      <c r="E982" s="19"/>
      <c r="F982" s="5"/>
      <c r="H982" s="19"/>
    </row>
    <row r="983">
      <c r="A983" s="44"/>
      <c r="C983" s="61"/>
      <c r="E983" s="19"/>
      <c r="F983" s="5"/>
      <c r="H983" s="19"/>
    </row>
    <row r="984">
      <c r="A984" s="44"/>
      <c r="C984" s="61"/>
      <c r="E984" s="19"/>
      <c r="F984" s="5"/>
      <c r="H984" s="19"/>
    </row>
    <row r="985">
      <c r="A985" s="44"/>
      <c r="C985" s="61"/>
      <c r="E985" s="19"/>
      <c r="F985" s="5"/>
      <c r="H985" s="19"/>
    </row>
    <row r="986">
      <c r="A986" s="44"/>
      <c r="C986" s="61"/>
      <c r="E986" s="19"/>
      <c r="F986" s="5"/>
      <c r="H986" s="19"/>
    </row>
    <row r="987">
      <c r="A987" s="44"/>
      <c r="C987" s="61"/>
      <c r="E987" s="19"/>
      <c r="F987" s="5"/>
      <c r="H987" s="19"/>
    </row>
    <row r="988">
      <c r="A988" s="44"/>
      <c r="C988" s="61"/>
      <c r="E988" s="19"/>
      <c r="F988" s="5"/>
      <c r="H988" s="19"/>
    </row>
    <row r="989">
      <c r="A989" s="44"/>
      <c r="C989" s="61"/>
      <c r="E989" s="19"/>
      <c r="F989" s="5"/>
      <c r="H989" s="19"/>
    </row>
    <row r="990">
      <c r="A990" s="44"/>
      <c r="C990" s="61"/>
      <c r="E990" s="19"/>
      <c r="F990" s="5"/>
      <c r="H990" s="19"/>
    </row>
    <row r="991">
      <c r="A991" s="44"/>
      <c r="C991" s="61"/>
      <c r="E991" s="19"/>
      <c r="F991" s="5"/>
      <c r="H991" s="19"/>
    </row>
    <row r="992">
      <c r="A992" s="44"/>
      <c r="C992" s="61"/>
      <c r="E992" s="19"/>
      <c r="F992" s="5"/>
      <c r="H992" s="19"/>
    </row>
    <row r="993">
      <c r="A993" s="44"/>
      <c r="C993" s="61"/>
      <c r="E993" s="19"/>
      <c r="F993" s="5"/>
      <c r="H993" s="19"/>
    </row>
    <row r="994">
      <c r="A994" s="44"/>
      <c r="C994" s="61"/>
      <c r="E994" s="19"/>
      <c r="F994" s="5"/>
      <c r="H994" s="19"/>
    </row>
    <row r="995">
      <c r="A995" s="44"/>
      <c r="C995" s="61"/>
      <c r="E995" s="19"/>
      <c r="F995" s="5"/>
      <c r="H995" s="19"/>
    </row>
    <row r="996">
      <c r="A996" s="44"/>
      <c r="C996" s="61"/>
      <c r="E996" s="19"/>
      <c r="F996" s="5"/>
      <c r="H996" s="19"/>
    </row>
    <row r="997">
      <c r="A997" s="44"/>
      <c r="C997" s="61"/>
      <c r="E997" s="19"/>
      <c r="F997" s="5"/>
      <c r="H997" s="19"/>
    </row>
    <row r="998">
      <c r="A998" s="44"/>
      <c r="C998" s="61"/>
      <c r="E998" s="19"/>
      <c r="F998" s="5"/>
      <c r="H998" s="19"/>
    </row>
    <row r="999">
      <c r="A999" s="44"/>
      <c r="C999" s="61"/>
      <c r="E999" s="19"/>
      <c r="F999" s="5"/>
      <c r="H999" s="19"/>
    </row>
    <row r="1000">
      <c r="A1000" s="39"/>
      <c r="C1000" s="61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1">
    <cfRule type="cellIs" dxfId="3" priority="3" operator="greaterThan">
      <formula>0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59" t="s">
        <v>44</v>
      </c>
      <c r="D1" s="19"/>
      <c r="E1" s="1" t="s">
        <v>45</v>
      </c>
      <c r="F1" s="5">
        <f>SUMIF(B:B,E1,C:C)+SUMIF(B:B,"Drinks",C:C)</f>
        <v>235</v>
      </c>
      <c r="H1" s="1" t="s">
        <v>46</v>
      </c>
      <c r="I1" s="5">
        <f>I5-I6</f>
        <v>-13.28</v>
      </c>
      <c r="J1" s="19"/>
      <c r="K1" s="1" t="s">
        <v>47</v>
      </c>
      <c r="L1" s="5">
        <f t="shared" ref="L1:L4" si="1">SUMIF(B:B,K1,C:I)</f>
        <v>68.55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44835.0</v>
      </c>
      <c r="B2" s="4" t="s">
        <v>8</v>
      </c>
      <c r="C2" s="60">
        <v>0.0</v>
      </c>
      <c r="E2" s="1" t="s">
        <v>52</v>
      </c>
      <c r="F2" s="5">
        <f>SUMIF(B:B,"Deliveroo",C:C)+SUMIF(B:B,"Just eat",C:C)+SUMIF(B:B,"Uber eats",C:C)+SUMIF(B:B,E2,C:C)</f>
        <v>78.7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30.67</v>
      </c>
      <c r="N2" s="39">
        <v>44835.0</v>
      </c>
      <c r="O2" s="5">
        <f>sumif(A:A,N2,C:C)-I3</f>
        <v>119.53</v>
      </c>
      <c r="P2" s="5">
        <f>SUM(O2)</f>
        <v>119.53</v>
      </c>
    </row>
    <row r="3">
      <c r="A3" s="39">
        <v>44835.0</v>
      </c>
      <c r="B3" s="4" t="s">
        <v>45</v>
      </c>
      <c r="C3" s="60">
        <v>6.1</v>
      </c>
      <c r="E3" s="1" t="s">
        <v>209</v>
      </c>
      <c r="F3" s="5">
        <f>SUMIF(B:B,"Pret",C:C)+SUMIF(B:B,"Breakfast",C:C)</f>
        <v>10.95</v>
      </c>
      <c r="H3" s="1" t="s">
        <v>8</v>
      </c>
      <c r="I3" s="5">
        <f>SUMIF(B:B,H3,C:C)+I1</f>
        <v>-13.28</v>
      </c>
      <c r="K3" s="1" t="s">
        <v>56</v>
      </c>
      <c r="L3" s="5">
        <f t="shared" si="1"/>
        <v>11.85</v>
      </c>
      <c r="N3" s="39">
        <v>44836.0</v>
      </c>
      <c r="O3" s="40">
        <f t="shared" ref="O3:O22" si="2">sumif(A:A,N3,C:C)</f>
        <v>13.55</v>
      </c>
      <c r="P3" s="5">
        <f t="shared" ref="P3:P32" si="3">P2+O3</f>
        <v>133.08</v>
      </c>
    </row>
    <row r="4">
      <c r="A4" s="39">
        <v>44835.0</v>
      </c>
      <c r="B4" s="4" t="s">
        <v>45</v>
      </c>
      <c r="C4" s="60">
        <v>5.7</v>
      </c>
      <c r="E4" s="1" t="s">
        <v>140</v>
      </c>
      <c r="F4" s="5">
        <f>SUMIF(B:B,E4,C:C)</f>
        <v>35.2</v>
      </c>
      <c r="K4" s="1" t="s">
        <v>59</v>
      </c>
      <c r="L4" s="5">
        <f t="shared" si="1"/>
        <v>95.16</v>
      </c>
      <c r="N4" s="39">
        <v>44837.0</v>
      </c>
      <c r="O4" s="40">
        <f t="shared" si="2"/>
        <v>27.48</v>
      </c>
      <c r="P4" s="5">
        <f t="shared" si="3"/>
        <v>160.56</v>
      </c>
    </row>
    <row r="5">
      <c r="A5" s="39">
        <v>44835.0</v>
      </c>
      <c r="B5" s="4" t="s">
        <v>73</v>
      </c>
      <c r="C5" s="60">
        <v>18.71</v>
      </c>
      <c r="E5" s="1" t="s">
        <v>57</v>
      </c>
      <c r="F5" s="5">
        <f>sum(L:L)</f>
        <v>206.23</v>
      </c>
      <c r="H5" s="1" t="s">
        <v>65</v>
      </c>
      <c r="I5" s="49">
        <v>2447.86</v>
      </c>
      <c r="N5" s="39">
        <v>44838.0</v>
      </c>
      <c r="O5" s="40">
        <f t="shared" si="2"/>
        <v>1.7</v>
      </c>
      <c r="P5" s="5">
        <f t="shared" si="3"/>
        <v>162.26</v>
      </c>
    </row>
    <row r="6">
      <c r="A6" s="39">
        <v>44835.0</v>
      </c>
      <c r="B6" s="4" t="s">
        <v>127</v>
      </c>
      <c r="C6" s="60">
        <v>2.6</v>
      </c>
      <c r="E6" s="42" t="s">
        <v>61</v>
      </c>
      <c r="F6" s="5">
        <f>SUMIF(B:B,"Games",C:C)+SUMIF(B:B,"Spotify",C:C)+SUMIF(B:B,"Disney+",C:C)+SUMIF(B:B,"Book",C:C)+SUMIF(B:B,"Audible",C:C)</f>
        <v>28.45</v>
      </c>
      <c r="H6" s="1" t="s">
        <v>68</v>
      </c>
      <c r="I6" s="5">
        <f>sum(C:C)</f>
        <v>2461.14</v>
      </c>
      <c r="N6" s="39">
        <v>44839.0</v>
      </c>
      <c r="O6" s="40">
        <f t="shared" si="2"/>
        <v>41.75</v>
      </c>
      <c r="P6" s="5">
        <f t="shared" si="3"/>
        <v>204.01</v>
      </c>
    </row>
    <row r="7">
      <c r="A7" s="39">
        <v>44835.0</v>
      </c>
      <c r="B7" s="4" t="s">
        <v>517</v>
      </c>
      <c r="C7" s="60">
        <v>20.04</v>
      </c>
      <c r="E7" s="1" t="s">
        <v>64</v>
      </c>
      <c r="F7" s="5">
        <f>SUMIF(B:B,E7,C:C)+SUMIF(B:B,"Shoes",C:C)</f>
        <v>9.1</v>
      </c>
      <c r="H7" s="1" t="s">
        <v>72</v>
      </c>
      <c r="I7" s="5">
        <f>sum(F:F)+I2+I3</f>
        <v>2146.75</v>
      </c>
      <c r="N7" s="39">
        <v>44840.0</v>
      </c>
      <c r="O7" s="40">
        <f t="shared" si="2"/>
        <v>69.65</v>
      </c>
      <c r="P7" s="5">
        <f t="shared" si="3"/>
        <v>273.66</v>
      </c>
    </row>
    <row r="8">
      <c r="A8" s="39">
        <v>44835.0</v>
      </c>
      <c r="B8" s="4" t="s">
        <v>164</v>
      </c>
      <c r="C8" s="60">
        <f>17.65+1.35</f>
        <v>19</v>
      </c>
      <c r="E8" s="1" t="s">
        <v>54</v>
      </c>
      <c r="F8" s="5">
        <f>SUMIF(B:B,E8,C:C)+SUMIF(B:B,"Gym",C:C)+SUMIF(B:B,"Phone",C:C)</f>
        <v>1159.99</v>
      </c>
      <c r="H8" s="1" t="s">
        <v>74</v>
      </c>
      <c r="I8" s="5">
        <f>I6-I7</f>
        <v>314.39</v>
      </c>
      <c r="N8" s="39">
        <v>44841.0</v>
      </c>
      <c r="O8" s="40">
        <f t="shared" si="2"/>
        <v>16.44</v>
      </c>
      <c r="P8" s="5">
        <f t="shared" si="3"/>
        <v>290.1</v>
      </c>
    </row>
    <row r="9">
      <c r="A9" s="39">
        <v>44835.0</v>
      </c>
      <c r="B9" s="4" t="s">
        <v>45</v>
      </c>
      <c r="C9" s="60">
        <v>23.0</v>
      </c>
      <c r="E9" s="1" t="s">
        <v>127</v>
      </c>
      <c r="F9" s="5">
        <f>SUMIF(B:B,E9,C:C)</f>
        <v>68.8</v>
      </c>
      <c r="H9" s="1" t="s">
        <v>539</v>
      </c>
      <c r="I9" s="5">
        <f>sum(C:C)-(F8+I2+I3)</f>
        <v>1064.43</v>
      </c>
      <c r="N9" s="39">
        <v>44842.0</v>
      </c>
      <c r="O9" s="40">
        <f t="shared" si="2"/>
        <v>41.4</v>
      </c>
      <c r="P9" s="5">
        <f t="shared" si="3"/>
        <v>331.5</v>
      </c>
    </row>
    <row r="10">
      <c r="A10" s="39">
        <v>44835.0</v>
      </c>
      <c r="B10" s="4" t="s">
        <v>45</v>
      </c>
      <c r="C10" s="60">
        <v>11.1</v>
      </c>
      <c r="E10" s="1" t="s">
        <v>164</v>
      </c>
      <c r="F10" s="62">
        <f>SUMIF(B:B,"Cigs",C:C)</f>
        <v>41.6</v>
      </c>
      <c r="N10" s="39">
        <v>44843.0</v>
      </c>
      <c r="O10" s="40">
        <f t="shared" si="2"/>
        <v>28.68</v>
      </c>
      <c r="P10" s="5">
        <f t="shared" si="3"/>
        <v>360.18</v>
      </c>
    </row>
    <row r="11">
      <c r="A11" s="39">
        <v>44836.0</v>
      </c>
      <c r="B11" s="4" t="s">
        <v>47</v>
      </c>
      <c r="C11" s="60">
        <v>13.55</v>
      </c>
      <c r="E11" s="1" t="s">
        <v>73</v>
      </c>
      <c r="F11" s="5">
        <f>SUMIF(B:B,"Uber",C:C)</f>
        <v>36.01</v>
      </c>
      <c r="N11" s="39">
        <v>44844.0</v>
      </c>
      <c r="O11" s="40">
        <f t="shared" si="2"/>
        <v>46.25</v>
      </c>
      <c r="P11" s="5">
        <f t="shared" si="3"/>
        <v>406.43</v>
      </c>
    </row>
    <row r="12">
      <c r="A12" s="39">
        <v>44837.0</v>
      </c>
      <c r="B12" s="4" t="s">
        <v>64</v>
      </c>
      <c r="C12" s="60">
        <v>9.1</v>
      </c>
      <c r="N12" s="39">
        <v>44845.0</v>
      </c>
      <c r="O12" s="40">
        <f t="shared" si="2"/>
        <v>5.58</v>
      </c>
      <c r="P12" s="5">
        <f t="shared" si="3"/>
        <v>412.01</v>
      </c>
    </row>
    <row r="13">
      <c r="A13" s="39">
        <v>44837.0</v>
      </c>
      <c r="B13" s="4" t="s">
        <v>59</v>
      </c>
      <c r="C13" s="60">
        <v>18.38</v>
      </c>
      <c r="N13" s="39">
        <v>44846.0</v>
      </c>
      <c r="O13" s="40">
        <f t="shared" si="2"/>
        <v>63.09</v>
      </c>
      <c r="P13" s="5">
        <f t="shared" si="3"/>
        <v>475.1</v>
      </c>
    </row>
    <row r="14">
      <c r="A14" s="39">
        <v>44838.0</v>
      </c>
      <c r="B14" s="4" t="s">
        <v>127</v>
      </c>
      <c r="C14" s="60">
        <v>1.7</v>
      </c>
      <c r="H14" s="19"/>
      <c r="N14" s="39">
        <v>44847.0</v>
      </c>
      <c r="O14" s="40">
        <f t="shared" si="2"/>
        <v>50.14</v>
      </c>
      <c r="P14" s="5">
        <f t="shared" si="3"/>
        <v>525.24</v>
      </c>
    </row>
    <row r="15">
      <c r="A15" s="39">
        <v>44839.0</v>
      </c>
      <c r="B15" s="4" t="s">
        <v>54</v>
      </c>
      <c r="C15" s="60">
        <v>20.0</v>
      </c>
      <c r="H15" s="19"/>
      <c r="N15" s="39">
        <v>44848.0</v>
      </c>
      <c r="O15" s="40">
        <f t="shared" si="2"/>
        <v>0</v>
      </c>
      <c r="P15" s="5">
        <f t="shared" si="3"/>
        <v>525.24</v>
      </c>
    </row>
    <row r="16">
      <c r="A16" s="39">
        <v>44839.0</v>
      </c>
      <c r="B16" s="4" t="s">
        <v>532</v>
      </c>
      <c r="C16" s="60">
        <v>3.65</v>
      </c>
      <c r="H16" s="19"/>
      <c r="N16" s="39">
        <v>44849.0</v>
      </c>
      <c r="O16" s="40">
        <f t="shared" si="2"/>
        <v>1239.51</v>
      </c>
      <c r="P16" s="5">
        <f t="shared" si="3"/>
        <v>1764.75</v>
      </c>
    </row>
    <row r="17">
      <c r="A17" s="39">
        <v>44839.0</v>
      </c>
      <c r="B17" s="4" t="s">
        <v>127</v>
      </c>
      <c r="C17" s="60">
        <v>2.0</v>
      </c>
      <c r="H17" s="19"/>
      <c r="N17" s="39">
        <v>44850.0</v>
      </c>
      <c r="O17" s="40">
        <f t="shared" si="2"/>
        <v>5.59</v>
      </c>
      <c r="P17" s="5">
        <f t="shared" si="3"/>
        <v>1770.34</v>
      </c>
    </row>
    <row r="18">
      <c r="A18" s="39">
        <v>44839.0</v>
      </c>
      <c r="B18" s="4" t="s">
        <v>140</v>
      </c>
      <c r="C18" s="60">
        <v>9.9</v>
      </c>
      <c r="H18" s="19"/>
      <c r="N18" s="39">
        <v>44851.0</v>
      </c>
      <c r="O18" s="40">
        <f t="shared" si="2"/>
        <v>8.4</v>
      </c>
      <c r="P18" s="5">
        <f t="shared" si="3"/>
        <v>1778.74</v>
      </c>
    </row>
    <row r="19">
      <c r="A19" s="39">
        <v>44839.0</v>
      </c>
      <c r="B19" s="4" t="s">
        <v>56</v>
      </c>
      <c r="C19" s="60">
        <v>0.7</v>
      </c>
      <c r="H19" s="19"/>
      <c r="N19" s="39">
        <v>44852.0</v>
      </c>
      <c r="O19" s="40">
        <f t="shared" si="2"/>
        <v>16.3</v>
      </c>
      <c r="P19" s="5">
        <f t="shared" si="3"/>
        <v>1795.04</v>
      </c>
    </row>
    <row r="20">
      <c r="A20" s="39">
        <v>44839.0</v>
      </c>
      <c r="B20" s="4" t="s">
        <v>45</v>
      </c>
      <c r="C20" s="60">
        <v>5.5</v>
      </c>
      <c r="H20" s="19"/>
      <c r="N20" s="39">
        <v>44853.0</v>
      </c>
      <c r="O20" s="40">
        <f t="shared" si="2"/>
        <v>25.16</v>
      </c>
      <c r="P20" s="5">
        <f t="shared" si="3"/>
        <v>1820.2</v>
      </c>
    </row>
    <row r="21">
      <c r="A21" s="39">
        <v>44840.0</v>
      </c>
      <c r="B21" s="4" t="s">
        <v>532</v>
      </c>
      <c r="C21" s="60">
        <v>3.65</v>
      </c>
      <c r="E21" s="19"/>
      <c r="F21" s="5"/>
      <c r="H21" s="19"/>
      <c r="N21" s="39">
        <v>44854.0</v>
      </c>
      <c r="O21" s="40">
        <f t="shared" si="2"/>
        <v>54.67</v>
      </c>
      <c r="P21" s="5">
        <f t="shared" si="3"/>
        <v>1874.87</v>
      </c>
    </row>
    <row r="22">
      <c r="A22" s="39">
        <v>44840.0</v>
      </c>
      <c r="B22" s="4" t="s">
        <v>127</v>
      </c>
      <c r="C22" s="60">
        <v>7.7</v>
      </c>
      <c r="E22" s="19"/>
      <c r="F22" s="5"/>
      <c r="H22" s="19"/>
      <c r="N22" s="39">
        <v>44855.0</v>
      </c>
      <c r="O22" s="40">
        <f t="shared" si="2"/>
        <v>24.77</v>
      </c>
      <c r="P22" s="5">
        <f t="shared" si="3"/>
        <v>1899.64</v>
      </c>
    </row>
    <row r="23">
      <c r="A23" s="39">
        <v>44840.0</v>
      </c>
      <c r="B23" s="4" t="s">
        <v>56</v>
      </c>
      <c r="C23" s="60">
        <v>8.5</v>
      </c>
      <c r="E23" s="19"/>
      <c r="F23" s="5"/>
      <c r="H23" s="19"/>
      <c r="N23" s="39">
        <v>44856.0</v>
      </c>
      <c r="O23" s="5">
        <f>sumif(A:A,N23,C:C)-I2</f>
        <v>144.02</v>
      </c>
      <c r="P23" s="5">
        <f t="shared" si="3"/>
        <v>2043.66</v>
      </c>
    </row>
    <row r="24">
      <c r="A24" s="39">
        <v>44840.0</v>
      </c>
      <c r="B24" s="4" t="s">
        <v>45</v>
      </c>
      <c r="C24" s="60">
        <v>21.0</v>
      </c>
      <c r="E24" s="19"/>
      <c r="F24" s="5"/>
      <c r="H24" s="19"/>
      <c r="N24" s="39">
        <v>44857.0</v>
      </c>
      <c r="O24" s="40">
        <f t="shared" ref="O24:O32" si="4">sumif(A:A,N24,C:C)</f>
        <v>18.27</v>
      </c>
      <c r="P24" s="5">
        <f t="shared" si="3"/>
        <v>2061.93</v>
      </c>
    </row>
    <row r="25">
      <c r="A25" s="39">
        <v>44840.0</v>
      </c>
      <c r="B25" s="4" t="s">
        <v>45</v>
      </c>
      <c r="C25" s="60">
        <v>13.0</v>
      </c>
      <c r="E25" s="19"/>
      <c r="F25" s="5"/>
      <c r="H25" s="19"/>
      <c r="N25" s="39">
        <v>44858.0</v>
      </c>
      <c r="O25" s="40">
        <f t="shared" si="4"/>
        <v>28.14</v>
      </c>
      <c r="P25" s="5">
        <f t="shared" si="3"/>
        <v>2090.07</v>
      </c>
    </row>
    <row r="26">
      <c r="A26" s="39">
        <v>44840.0</v>
      </c>
      <c r="B26" s="4" t="s">
        <v>45</v>
      </c>
      <c r="C26" s="60">
        <v>7.4</v>
      </c>
      <c r="E26" s="19"/>
      <c r="F26" s="5"/>
      <c r="H26" s="19"/>
      <c r="N26" s="39">
        <v>44859.0</v>
      </c>
      <c r="O26" s="40">
        <f t="shared" si="4"/>
        <v>5.2</v>
      </c>
      <c r="P26" s="5">
        <f t="shared" si="3"/>
        <v>2095.27</v>
      </c>
    </row>
    <row r="27">
      <c r="A27" s="39">
        <v>44840.0</v>
      </c>
      <c r="B27" s="4" t="s">
        <v>127</v>
      </c>
      <c r="C27" s="60">
        <v>8.4</v>
      </c>
      <c r="E27" s="19"/>
      <c r="F27" s="5"/>
      <c r="H27" s="19"/>
      <c r="N27" s="39">
        <v>44860.0</v>
      </c>
      <c r="O27" s="40">
        <f t="shared" si="4"/>
        <v>59.91</v>
      </c>
      <c r="P27" s="5">
        <f t="shared" si="3"/>
        <v>2155.18</v>
      </c>
    </row>
    <row r="28">
      <c r="A28" s="39">
        <v>44841.0</v>
      </c>
      <c r="B28" s="4" t="s">
        <v>230</v>
      </c>
      <c r="C28" s="60">
        <v>9.99</v>
      </c>
      <c r="E28" s="19"/>
      <c r="F28" s="5"/>
      <c r="H28" s="19"/>
      <c r="N28" s="39">
        <v>44861.0</v>
      </c>
      <c r="O28" s="40">
        <f t="shared" si="4"/>
        <v>29.25</v>
      </c>
      <c r="P28" s="5">
        <f t="shared" si="3"/>
        <v>2184.43</v>
      </c>
    </row>
    <row r="29">
      <c r="A29" s="39">
        <v>44841.0</v>
      </c>
      <c r="B29" s="4" t="s">
        <v>47</v>
      </c>
      <c r="C29" s="60">
        <v>1.5</v>
      </c>
      <c r="E29" s="19"/>
      <c r="F29" s="5"/>
      <c r="H29" s="19"/>
      <c r="N29" s="39">
        <v>44862.0</v>
      </c>
      <c r="O29" s="40">
        <f t="shared" si="4"/>
        <v>6.4</v>
      </c>
      <c r="P29" s="5">
        <f t="shared" si="3"/>
        <v>2190.83</v>
      </c>
    </row>
    <row r="30">
      <c r="A30" s="39">
        <v>44841.0</v>
      </c>
      <c r="B30" s="4" t="s">
        <v>140</v>
      </c>
      <c r="C30" s="60">
        <v>4.0</v>
      </c>
      <c r="E30" s="19"/>
      <c r="F30" s="5"/>
      <c r="H30" s="19"/>
      <c r="N30" s="39">
        <v>44863.0</v>
      </c>
      <c r="O30" s="40">
        <f t="shared" si="4"/>
        <v>7.18</v>
      </c>
      <c r="P30" s="5">
        <f t="shared" si="3"/>
        <v>2198.01</v>
      </c>
    </row>
    <row r="31">
      <c r="A31" s="39">
        <v>44841.0</v>
      </c>
      <c r="B31" s="4" t="s">
        <v>47</v>
      </c>
      <c r="C31" s="60">
        <v>0.95</v>
      </c>
      <c r="E31" s="19"/>
      <c r="F31" s="5"/>
      <c r="H31" s="19"/>
      <c r="N31" s="39">
        <v>44864.0</v>
      </c>
      <c r="O31" s="40">
        <f t="shared" si="4"/>
        <v>21.67</v>
      </c>
      <c r="P31" s="5">
        <f t="shared" si="3"/>
        <v>2219.68</v>
      </c>
    </row>
    <row r="32">
      <c r="A32" s="39">
        <v>44842.0</v>
      </c>
      <c r="B32" s="4" t="s">
        <v>127</v>
      </c>
      <c r="C32" s="60">
        <v>11.8</v>
      </c>
      <c r="E32" s="19"/>
      <c r="F32" s="5"/>
      <c r="H32" s="19"/>
      <c r="N32" s="39">
        <v>44865.0</v>
      </c>
      <c r="O32" s="40">
        <f t="shared" si="4"/>
        <v>4.74</v>
      </c>
      <c r="P32" s="5">
        <f t="shared" si="3"/>
        <v>2224.42</v>
      </c>
    </row>
    <row r="33">
      <c r="A33" s="39">
        <v>44842.0</v>
      </c>
      <c r="B33" s="4" t="s">
        <v>127</v>
      </c>
      <c r="C33" s="60">
        <v>1.7</v>
      </c>
      <c r="E33" s="19"/>
      <c r="F33" s="5"/>
      <c r="H33" s="19"/>
      <c r="N33" s="39"/>
    </row>
    <row r="34">
      <c r="A34" s="39">
        <v>44842.0</v>
      </c>
      <c r="B34" s="4" t="s">
        <v>47</v>
      </c>
      <c r="C34" s="60">
        <v>4.9</v>
      </c>
      <c r="E34" s="19"/>
      <c r="F34" s="5"/>
      <c r="H34" s="19"/>
    </row>
    <row r="35">
      <c r="A35" s="39">
        <v>44842.0</v>
      </c>
      <c r="B35" s="4" t="s">
        <v>127</v>
      </c>
      <c r="C35" s="60">
        <v>2.9</v>
      </c>
      <c r="E35" s="19"/>
      <c r="F35" s="5"/>
      <c r="H35" s="19"/>
    </row>
    <row r="36">
      <c r="A36" s="39">
        <v>44842.0</v>
      </c>
      <c r="B36" s="4" t="s">
        <v>512</v>
      </c>
      <c r="C36" s="60">
        <v>20.1</v>
      </c>
      <c r="E36" s="19"/>
      <c r="F36" s="5"/>
      <c r="H36" s="19"/>
    </row>
    <row r="37">
      <c r="A37" s="39">
        <v>44843.0</v>
      </c>
      <c r="B37" s="4" t="s">
        <v>73</v>
      </c>
      <c r="C37" s="60">
        <v>10.8</v>
      </c>
      <c r="E37" s="19"/>
      <c r="F37" s="5"/>
      <c r="H37" s="19"/>
    </row>
    <row r="38">
      <c r="A38" s="39">
        <v>44843.0</v>
      </c>
      <c r="B38" s="4" t="s">
        <v>528</v>
      </c>
      <c r="C38" s="60">
        <v>17.88</v>
      </c>
      <c r="E38" s="19"/>
      <c r="F38" s="5"/>
      <c r="H38" s="19"/>
    </row>
    <row r="39">
      <c r="A39" s="39">
        <v>44844.0</v>
      </c>
      <c r="B39" s="4" t="s">
        <v>540</v>
      </c>
      <c r="C39" s="60">
        <v>46.25</v>
      </c>
      <c r="E39" s="19"/>
      <c r="F39" s="5"/>
      <c r="H39" s="19"/>
    </row>
    <row r="40">
      <c r="A40" s="39">
        <v>44845.0</v>
      </c>
      <c r="B40" s="4" t="s">
        <v>47</v>
      </c>
      <c r="C40" s="60">
        <v>5.58</v>
      </c>
      <c r="E40" s="19"/>
      <c r="F40" s="5"/>
      <c r="H40" s="19"/>
    </row>
    <row r="41">
      <c r="A41" s="39">
        <v>44846.0</v>
      </c>
      <c r="B41" s="4" t="s">
        <v>59</v>
      </c>
      <c r="C41" s="60">
        <v>25.6</v>
      </c>
      <c r="E41" s="19"/>
      <c r="F41" s="5"/>
      <c r="H41" s="19"/>
    </row>
    <row r="42">
      <c r="A42" s="39">
        <v>44846.0</v>
      </c>
      <c r="B42" s="4" t="s">
        <v>45</v>
      </c>
      <c r="C42" s="60">
        <v>12.0</v>
      </c>
      <c r="E42" s="19"/>
      <c r="F42" s="5"/>
      <c r="H42" s="19"/>
    </row>
    <row r="43">
      <c r="A43" s="39">
        <v>44846.0</v>
      </c>
      <c r="B43" s="4" t="s">
        <v>45</v>
      </c>
      <c r="C43" s="60">
        <v>12.0</v>
      </c>
      <c r="E43" s="19"/>
      <c r="F43" s="5"/>
      <c r="H43" s="19"/>
    </row>
    <row r="44">
      <c r="A44" s="39">
        <v>44846.0</v>
      </c>
      <c r="B44" s="4" t="s">
        <v>267</v>
      </c>
      <c r="C44" s="60">
        <v>13.49</v>
      </c>
      <c r="E44" s="19"/>
      <c r="F44" s="5"/>
      <c r="H44" s="19"/>
    </row>
    <row r="45">
      <c r="A45" s="39">
        <v>44847.0</v>
      </c>
      <c r="B45" s="4" t="s">
        <v>45</v>
      </c>
      <c r="C45" s="60">
        <v>35.15</v>
      </c>
      <c r="E45" s="19"/>
      <c r="F45" s="5"/>
      <c r="H45" s="19"/>
    </row>
    <row r="46">
      <c r="A46" s="39">
        <v>44847.0</v>
      </c>
      <c r="B46" s="4" t="s">
        <v>541</v>
      </c>
      <c r="C46" s="60">
        <v>14.99</v>
      </c>
      <c r="E46" s="19"/>
      <c r="F46" s="5"/>
      <c r="H46" s="19"/>
    </row>
    <row r="47">
      <c r="A47" s="39">
        <v>44849.0</v>
      </c>
      <c r="B47" s="4" t="s">
        <v>54</v>
      </c>
      <c r="C47" s="41">
        <v>1055.0</v>
      </c>
      <c r="E47" s="19"/>
      <c r="F47" s="5"/>
      <c r="H47" s="19"/>
    </row>
    <row r="48">
      <c r="A48" s="39">
        <v>44849.0</v>
      </c>
      <c r="B48" s="4" t="s">
        <v>47</v>
      </c>
      <c r="C48" s="63">
        <v>5.0</v>
      </c>
      <c r="E48" s="19"/>
      <c r="F48" s="5"/>
      <c r="H48" s="19"/>
    </row>
    <row r="49">
      <c r="A49" s="39">
        <v>44849.0</v>
      </c>
      <c r="B49" s="4" t="s">
        <v>53</v>
      </c>
      <c r="C49" s="60">
        <v>7.31</v>
      </c>
      <c r="E49" s="19"/>
      <c r="F49" s="5"/>
      <c r="H49" s="19"/>
    </row>
    <row r="50">
      <c r="A50" s="39">
        <v>44849.0</v>
      </c>
      <c r="B50" s="4" t="s">
        <v>542</v>
      </c>
      <c r="C50" s="21">
        <v>172.2</v>
      </c>
      <c r="E50" s="19"/>
      <c r="F50" s="5"/>
      <c r="H50" s="19"/>
    </row>
    <row r="51">
      <c r="A51" s="39">
        <v>44850.0</v>
      </c>
      <c r="B51" s="4" t="s">
        <v>127</v>
      </c>
      <c r="C51" s="60">
        <v>1.7</v>
      </c>
      <c r="E51" s="19"/>
      <c r="F51" s="5"/>
      <c r="H51" s="19"/>
    </row>
    <row r="52">
      <c r="A52" s="39">
        <v>44850.0</v>
      </c>
      <c r="B52" s="4" t="s">
        <v>47</v>
      </c>
      <c r="C52" s="60">
        <v>3.89</v>
      </c>
      <c r="H52" s="19"/>
    </row>
    <row r="53">
      <c r="A53" s="39">
        <v>44851.0</v>
      </c>
      <c r="B53" s="4" t="s">
        <v>47</v>
      </c>
      <c r="C53" s="60">
        <v>8.4</v>
      </c>
      <c r="E53" s="19"/>
      <c r="F53" s="5"/>
      <c r="H53" s="19"/>
    </row>
    <row r="54">
      <c r="A54" s="39">
        <v>44852.0</v>
      </c>
      <c r="B54" s="4" t="s">
        <v>59</v>
      </c>
      <c r="C54" s="60">
        <v>16.3</v>
      </c>
      <c r="E54" s="19"/>
      <c r="F54" s="5"/>
      <c r="H54" s="19"/>
    </row>
    <row r="55">
      <c r="A55" s="39">
        <v>44853.0</v>
      </c>
      <c r="B55" s="4" t="s">
        <v>528</v>
      </c>
      <c r="C55" s="60">
        <v>15.18</v>
      </c>
      <c r="E55" s="19"/>
      <c r="F55" s="5"/>
      <c r="H55" s="19"/>
    </row>
    <row r="56">
      <c r="A56" s="39">
        <v>44853.0</v>
      </c>
      <c r="B56" s="4" t="s">
        <v>119</v>
      </c>
      <c r="C56" s="60">
        <v>4.99</v>
      </c>
      <c r="E56" s="19"/>
      <c r="F56" s="5"/>
      <c r="H56" s="19"/>
    </row>
    <row r="57">
      <c r="A57" s="39">
        <v>44853.0</v>
      </c>
      <c r="B57" s="4" t="s">
        <v>119</v>
      </c>
      <c r="C57" s="60">
        <v>4.99</v>
      </c>
      <c r="E57" s="19"/>
      <c r="F57" s="5"/>
      <c r="H57" s="19"/>
    </row>
    <row r="58">
      <c r="A58" s="39">
        <v>44854.0</v>
      </c>
      <c r="B58" s="4" t="s">
        <v>252</v>
      </c>
      <c r="C58" s="60">
        <v>35.99</v>
      </c>
      <c r="E58" s="19"/>
      <c r="F58" s="5"/>
      <c r="H58" s="19"/>
    </row>
    <row r="59">
      <c r="A59" s="39">
        <v>44854.0</v>
      </c>
      <c r="B59" s="4" t="s">
        <v>59</v>
      </c>
      <c r="C59" s="43">
        <v>18.68</v>
      </c>
      <c r="E59" s="19"/>
      <c r="F59" s="5"/>
      <c r="H59" s="19"/>
    </row>
    <row r="60">
      <c r="A60" s="39">
        <v>44855.0</v>
      </c>
      <c r="B60" s="4" t="s">
        <v>45</v>
      </c>
      <c r="C60" s="60">
        <v>3.0</v>
      </c>
      <c r="E60" s="19"/>
      <c r="F60" s="5"/>
      <c r="H60" s="19"/>
    </row>
    <row r="61">
      <c r="A61" s="39">
        <v>44855.0</v>
      </c>
      <c r="B61" s="4" t="s">
        <v>45</v>
      </c>
      <c r="C61" s="60">
        <v>5.9</v>
      </c>
      <c r="E61" s="19"/>
      <c r="F61" s="5"/>
      <c r="H61" s="19"/>
    </row>
    <row r="62">
      <c r="A62" s="39">
        <v>44855.0</v>
      </c>
      <c r="B62" s="4" t="s">
        <v>45</v>
      </c>
      <c r="C62" s="60">
        <v>5.5</v>
      </c>
      <c r="E62" s="19"/>
      <c r="F62" s="5"/>
      <c r="H62" s="19"/>
    </row>
    <row r="63">
      <c r="A63" s="39">
        <v>44855.0</v>
      </c>
      <c r="B63" s="4" t="s">
        <v>45</v>
      </c>
      <c r="C63" s="60">
        <v>5.9</v>
      </c>
      <c r="E63" s="19"/>
      <c r="F63" s="5"/>
      <c r="H63" s="19"/>
    </row>
    <row r="64">
      <c r="A64" s="39">
        <v>44855.0</v>
      </c>
      <c r="B64" s="4" t="s">
        <v>45</v>
      </c>
      <c r="C64" s="60">
        <v>4.47</v>
      </c>
      <c r="E64" s="19"/>
      <c r="F64" s="5"/>
      <c r="H64" s="19"/>
    </row>
    <row r="65">
      <c r="A65" s="39">
        <v>44856.0</v>
      </c>
      <c r="B65" s="4" t="s">
        <v>480</v>
      </c>
      <c r="C65" s="60">
        <v>250.0</v>
      </c>
      <c r="E65" s="19"/>
      <c r="F65" s="5"/>
      <c r="H65" s="19"/>
    </row>
    <row r="66">
      <c r="A66" s="39">
        <v>44856.0</v>
      </c>
      <c r="B66" s="4" t="s">
        <v>253</v>
      </c>
      <c r="C66" s="60">
        <v>49.0</v>
      </c>
      <c r="E66" s="19"/>
      <c r="F66" s="5"/>
      <c r="H66" s="19"/>
    </row>
    <row r="67">
      <c r="A67" s="39">
        <v>44856.0</v>
      </c>
      <c r="B67" s="4" t="s">
        <v>517</v>
      </c>
      <c r="C67" s="60">
        <v>13.83</v>
      </c>
      <c r="E67" s="19"/>
      <c r="F67" s="5"/>
      <c r="H67" s="19"/>
    </row>
    <row r="68">
      <c r="A68" s="39">
        <v>44856.0</v>
      </c>
      <c r="B68" s="4" t="s">
        <v>45</v>
      </c>
      <c r="C68" s="60">
        <v>3.0</v>
      </c>
      <c r="E68" s="19"/>
      <c r="F68" s="5"/>
      <c r="H68" s="19"/>
    </row>
    <row r="69">
      <c r="A69" s="39">
        <v>44856.0</v>
      </c>
      <c r="B69" s="4" t="s">
        <v>497</v>
      </c>
      <c r="C69" s="60">
        <v>3.99</v>
      </c>
      <c r="E69" s="19"/>
      <c r="F69" s="5"/>
      <c r="H69" s="19"/>
    </row>
    <row r="70">
      <c r="A70" s="39">
        <v>44856.0</v>
      </c>
      <c r="B70" s="4" t="s">
        <v>127</v>
      </c>
      <c r="C70" s="60">
        <v>5.5</v>
      </c>
      <c r="E70" s="19"/>
      <c r="F70" s="5"/>
      <c r="H70" s="19"/>
    </row>
    <row r="71">
      <c r="A71" s="39">
        <v>44856.0</v>
      </c>
      <c r="B71" s="4" t="s">
        <v>127</v>
      </c>
      <c r="C71" s="60">
        <v>2.6</v>
      </c>
      <c r="E71" s="19"/>
      <c r="F71" s="5"/>
      <c r="H71" s="19"/>
    </row>
    <row r="72">
      <c r="A72" s="39">
        <v>44856.0</v>
      </c>
      <c r="B72" s="4" t="s">
        <v>210</v>
      </c>
      <c r="C72" s="60">
        <v>37.41</v>
      </c>
      <c r="E72" s="19"/>
      <c r="F72" s="5"/>
      <c r="H72" s="19"/>
    </row>
    <row r="73">
      <c r="A73" s="39">
        <v>44856.0</v>
      </c>
      <c r="B73" s="4" t="s">
        <v>45</v>
      </c>
      <c r="C73" s="60">
        <v>12.1</v>
      </c>
      <c r="E73" s="19"/>
      <c r="F73" s="5"/>
      <c r="H73" s="19"/>
    </row>
    <row r="74">
      <c r="A74" s="39">
        <v>44856.0</v>
      </c>
      <c r="B74" s="4" t="s">
        <v>45</v>
      </c>
      <c r="C74" s="60">
        <v>12.1</v>
      </c>
      <c r="E74" s="19"/>
      <c r="F74" s="5"/>
      <c r="H74" s="19"/>
    </row>
    <row r="75">
      <c r="A75" s="39">
        <v>44856.0</v>
      </c>
      <c r="B75" s="4" t="s">
        <v>230</v>
      </c>
      <c r="C75" s="60">
        <v>4.49</v>
      </c>
      <c r="E75" s="19"/>
      <c r="F75" s="5"/>
      <c r="H75" s="19"/>
    </row>
    <row r="76">
      <c r="A76" s="39">
        <v>44857.0</v>
      </c>
      <c r="B76" s="4" t="s">
        <v>517</v>
      </c>
      <c r="C76" s="60">
        <v>11.77</v>
      </c>
      <c r="E76" s="19"/>
      <c r="F76" s="5"/>
      <c r="H76" s="19"/>
    </row>
    <row r="77">
      <c r="A77" s="39">
        <v>44857.0</v>
      </c>
      <c r="B77" s="4" t="s">
        <v>73</v>
      </c>
      <c r="C77" s="60">
        <v>6.5</v>
      </c>
      <c r="E77" s="19"/>
      <c r="F77" s="5"/>
      <c r="H77" s="19"/>
    </row>
    <row r="78">
      <c r="A78" s="39">
        <v>44858.0</v>
      </c>
      <c r="B78" s="4" t="s">
        <v>127</v>
      </c>
      <c r="C78" s="60">
        <v>2.6</v>
      </c>
      <c r="E78" s="19"/>
      <c r="F78" s="5"/>
      <c r="H78" s="19"/>
    </row>
    <row r="79">
      <c r="A79" s="39">
        <v>44858.0</v>
      </c>
      <c r="B79" s="4" t="s">
        <v>53</v>
      </c>
      <c r="C79" s="60">
        <v>9.34</v>
      </c>
      <c r="E79" s="19"/>
      <c r="F79" s="5"/>
      <c r="H79" s="19"/>
    </row>
    <row r="80">
      <c r="A80" s="39">
        <v>44858.0</v>
      </c>
      <c r="B80" s="4" t="s">
        <v>59</v>
      </c>
      <c r="C80" s="60">
        <v>16.2</v>
      </c>
      <c r="E80" s="19"/>
      <c r="F80" s="5"/>
      <c r="H80" s="19"/>
    </row>
    <row r="81">
      <c r="A81" s="39">
        <v>44859.0</v>
      </c>
      <c r="B81" s="4" t="s">
        <v>47</v>
      </c>
      <c r="C81" s="60">
        <v>5.2</v>
      </c>
      <c r="E81" s="19"/>
      <c r="F81" s="5"/>
      <c r="H81" s="19"/>
    </row>
    <row r="82">
      <c r="A82" s="39">
        <v>44860.0</v>
      </c>
      <c r="B82" s="4" t="s">
        <v>56</v>
      </c>
      <c r="C82" s="60">
        <v>1.95</v>
      </c>
      <c r="E82" s="19"/>
      <c r="F82" s="5"/>
      <c r="H82" s="19"/>
    </row>
    <row r="83">
      <c r="A83" s="39">
        <v>44860.0</v>
      </c>
      <c r="B83" s="4" t="s">
        <v>140</v>
      </c>
      <c r="C83" s="60">
        <v>9.9</v>
      </c>
      <c r="E83" s="19"/>
      <c r="F83" s="5"/>
      <c r="H83" s="19"/>
    </row>
    <row r="84">
      <c r="A84" s="39">
        <v>44860.0</v>
      </c>
      <c r="B84" s="4" t="s">
        <v>56</v>
      </c>
      <c r="C84" s="60">
        <v>0.7</v>
      </c>
      <c r="E84" s="19"/>
      <c r="F84" s="5"/>
      <c r="H84" s="19"/>
    </row>
    <row r="85">
      <c r="A85" s="39">
        <v>44860.0</v>
      </c>
      <c r="B85" s="4" t="s">
        <v>296</v>
      </c>
      <c r="C85" s="60">
        <v>13.78</v>
      </c>
      <c r="E85" s="19"/>
      <c r="F85" s="5"/>
      <c r="H85" s="19"/>
    </row>
    <row r="86">
      <c r="A86" s="39">
        <v>44860.0</v>
      </c>
      <c r="B86" s="4" t="s">
        <v>164</v>
      </c>
      <c r="C86" s="60">
        <v>22.6</v>
      </c>
      <c r="E86" s="19"/>
      <c r="F86" s="5"/>
      <c r="H86" s="19"/>
    </row>
    <row r="87">
      <c r="A87" s="39">
        <v>44860.0</v>
      </c>
      <c r="B87" s="4" t="s">
        <v>45</v>
      </c>
      <c r="C87" s="60">
        <v>10.98</v>
      </c>
      <c r="E87" s="19"/>
      <c r="F87" s="5"/>
      <c r="H87" s="19"/>
    </row>
    <row r="88">
      <c r="A88" s="39">
        <v>44861.0</v>
      </c>
      <c r="B88" s="4" t="s">
        <v>532</v>
      </c>
      <c r="C88" s="60">
        <v>3.65</v>
      </c>
      <c r="E88" s="19"/>
      <c r="F88" s="5"/>
      <c r="H88" s="19"/>
    </row>
    <row r="89">
      <c r="A89" s="39">
        <v>44861.0</v>
      </c>
      <c r="B89" s="4" t="s">
        <v>140</v>
      </c>
      <c r="C89" s="60">
        <v>11.4</v>
      </c>
      <c r="E89" s="19"/>
      <c r="F89" s="5"/>
      <c r="H89" s="19"/>
    </row>
    <row r="90">
      <c r="A90" s="39">
        <v>44861.0</v>
      </c>
      <c r="B90" s="4" t="s">
        <v>127</v>
      </c>
      <c r="C90" s="60">
        <v>7.7</v>
      </c>
      <c r="E90" s="19"/>
      <c r="F90" s="5"/>
      <c r="H90" s="19"/>
    </row>
    <row r="91">
      <c r="A91" s="39">
        <v>44861.0</v>
      </c>
      <c r="B91" s="4" t="s">
        <v>47</v>
      </c>
      <c r="C91" s="60">
        <v>6.5</v>
      </c>
      <c r="E91" s="19"/>
      <c r="F91" s="5"/>
      <c r="H91" s="19"/>
    </row>
    <row r="92">
      <c r="A92" s="39">
        <v>44862.0</v>
      </c>
      <c r="B92" s="4" t="s">
        <v>127</v>
      </c>
      <c r="C92" s="60">
        <v>6.4</v>
      </c>
      <c r="E92" s="19"/>
      <c r="F92" s="5"/>
      <c r="H92" s="19"/>
    </row>
    <row r="93">
      <c r="A93" s="39">
        <v>44863.0</v>
      </c>
      <c r="B93" s="4" t="s">
        <v>53</v>
      </c>
      <c r="C93" s="60">
        <v>2.98</v>
      </c>
      <c r="E93" s="19"/>
      <c r="F93" s="5"/>
      <c r="H93" s="19"/>
    </row>
    <row r="94">
      <c r="A94" s="39">
        <v>44863.0</v>
      </c>
      <c r="B94" s="4" t="s">
        <v>47</v>
      </c>
      <c r="C94" s="60">
        <v>4.2</v>
      </c>
      <c r="E94" s="19"/>
      <c r="F94" s="5"/>
      <c r="H94" s="19"/>
    </row>
    <row r="95">
      <c r="A95" s="39">
        <v>44864.0</v>
      </c>
      <c r="B95" s="4" t="s">
        <v>53</v>
      </c>
      <c r="C95" s="60">
        <v>11.04</v>
      </c>
      <c r="E95" s="19"/>
      <c r="F95" s="5"/>
      <c r="H95" s="19"/>
    </row>
    <row r="96">
      <c r="A96" s="39">
        <v>44864.0</v>
      </c>
      <c r="B96" s="4" t="s">
        <v>47</v>
      </c>
      <c r="C96" s="60">
        <v>7.23</v>
      </c>
      <c r="E96" s="19"/>
      <c r="F96" s="5"/>
      <c r="H96" s="19"/>
    </row>
    <row r="97">
      <c r="A97" s="39">
        <v>44864.0</v>
      </c>
      <c r="B97" s="4" t="s">
        <v>127</v>
      </c>
      <c r="C97" s="60">
        <v>3.4</v>
      </c>
      <c r="E97" s="19"/>
      <c r="F97" s="5"/>
      <c r="H97" s="19"/>
    </row>
    <row r="98">
      <c r="A98" s="39">
        <v>44865.0</v>
      </c>
      <c r="B98" s="4" t="s">
        <v>57</v>
      </c>
      <c r="C98" s="60">
        <v>2.99</v>
      </c>
      <c r="E98" s="19"/>
      <c r="F98" s="5"/>
      <c r="H98" s="19"/>
    </row>
    <row r="99">
      <c r="A99" s="39">
        <v>44865.0</v>
      </c>
      <c r="B99" s="4" t="s">
        <v>47</v>
      </c>
      <c r="C99" s="60">
        <v>1.65</v>
      </c>
      <c r="E99" s="19"/>
      <c r="F99" s="5"/>
      <c r="H99" s="19"/>
    </row>
    <row r="100">
      <c r="A100" s="39">
        <v>44865.0</v>
      </c>
      <c r="B100" s="4" t="s">
        <v>127</v>
      </c>
      <c r="C100" s="60">
        <v>0.1</v>
      </c>
      <c r="E100" s="19"/>
      <c r="F100" s="5"/>
      <c r="H100" s="19"/>
    </row>
    <row r="101">
      <c r="A101" s="39"/>
      <c r="C101" s="60"/>
      <c r="E101" s="19"/>
      <c r="F101" s="5"/>
      <c r="H101" s="19"/>
    </row>
    <row r="102">
      <c r="A102" s="44"/>
      <c r="C102" s="61"/>
      <c r="E102" s="19"/>
      <c r="F102" s="5"/>
      <c r="H102" s="19"/>
    </row>
    <row r="103">
      <c r="A103" s="44"/>
      <c r="C103" s="61"/>
      <c r="E103" s="19"/>
      <c r="F103" s="5"/>
      <c r="H103" s="19"/>
    </row>
    <row r="104">
      <c r="A104" s="44"/>
      <c r="C104" s="61"/>
      <c r="E104" s="19"/>
      <c r="F104" s="5"/>
      <c r="H104" s="19"/>
    </row>
    <row r="105">
      <c r="A105" s="44"/>
      <c r="C105" s="61"/>
      <c r="E105" s="19"/>
      <c r="F105" s="5"/>
      <c r="H105" s="19"/>
    </row>
    <row r="106">
      <c r="A106" s="44"/>
      <c r="C106" s="61"/>
      <c r="E106" s="19"/>
      <c r="F106" s="5"/>
      <c r="H106" s="19"/>
    </row>
    <row r="107">
      <c r="A107" s="44"/>
      <c r="C107" s="61"/>
      <c r="E107" s="19"/>
      <c r="F107" s="5"/>
      <c r="H107" s="19"/>
    </row>
    <row r="108">
      <c r="A108" s="44"/>
      <c r="C108" s="61"/>
      <c r="E108" s="19"/>
      <c r="F108" s="5"/>
      <c r="H108" s="19"/>
    </row>
    <row r="109">
      <c r="A109" s="44"/>
      <c r="C109" s="61"/>
      <c r="E109" s="19"/>
      <c r="F109" s="5"/>
      <c r="H109" s="19"/>
    </row>
    <row r="110">
      <c r="A110" s="44"/>
      <c r="C110" s="61"/>
      <c r="E110" s="19"/>
      <c r="F110" s="5"/>
      <c r="H110" s="19"/>
    </row>
    <row r="111">
      <c r="A111" s="44"/>
      <c r="C111" s="61"/>
      <c r="E111" s="19"/>
      <c r="F111" s="5"/>
      <c r="H111" s="19"/>
    </row>
    <row r="112">
      <c r="A112" s="44"/>
      <c r="C112" s="61"/>
      <c r="E112" s="19"/>
      <c r="F112" s="5"/>
      <c r="H112" s="19"/>
    </row>
    <row r="113">
      <c r="A113" s="44"/>
      <c r="C113" s="61"/>
      <c r="E113" s="19"/>
      <c r="F113" s="5"/>
      <c r="H113" s="19"/>
    </row>
    <row r="114">
      <c r="A114" s="44"/>
      <c r="C114" s="61"/>
      <c r="E114" s="19"/>
      <c r="F114" s="5"/>
      <c r="H114" s="19"/>
    </row>
    <row r="115">
      <c r="A115" s="44"/>
      <c r="C115" s="61"/>
      <c r="E115" s="19"/>
      <c r="F115" s="5"/>
      <c r="H115" s="19"/>
    </row>
    <row r="116">
      <c r="A116" s="44"/>
      <c r="C116" s="61"/>
      <c r="E116" s="19"/>
      <c r="F116" s="5"/>
      <c r="H116" s="19"/>
    </row>
    <row r="117">
      <c r="A117" s="44"/>
      <c r="C117" s="61"/>
      <c r="E117" s="19"/>
      <c r="F117" s="5"/>
      <c r="H117" s="19"/>
    </row>
    <row r="118">
      <c r="A118" s="44"/>
      <c r="C118" s="61"/>
      <c r="E118" s="19"/>
      <c r="F118" s="5"/>
      <c r="H118" s="19"/>
    </row>
    <row r="119">
      <c r="A119" s="44"/>
      <c r="C119" s="61"/>
      <c r="E119" s="19"/>
      <c r="F119" s="5"/>
      <c r="H119" s="19"/>
    </row>
    <row r="120">
      <c r="A120" s="44"/>
      <c r="C120" s="61"/>
      <c r="E120" s="19"/>
      <c r="F120" s="5"/>
      <c r="H120" s="19"/>
    </row>
    <row r="121">
      <c r="A121" s="44"/>
      <c r="C121" s="61"/>
      <c r="E121" s="19"/>
      <c r="F121" s="5"/>
      <c r="H121" s="19"/>
    </row>
    <row r="122">
      <c r="A122" s="44"/>
      <c r="C122" s="61"/>
      <c r="E122" s="19"/>
      <c r="F122" s="5"/>
      <c r="H122" s="19"/>
    </row>
    <row r="123">
      <c r="A123" s="44"/>
      <c r="C123" s="61"/>
      <c r="E123" s="19"/>
      <c r="F123" s="5"/>
      <c r="H123" s="19"/>
    </row>
    <row r="124">
      <c r="A124" s="44"/>
      <c r="C124" s="61"/>
      <c r="E124" s="19"/>
      <c r="F124" s="5"/>
      <c r="H124" s="19"/>
    </row>
    <row r="125">
      <c r="A125" s="44"/>
      <c r="C125" s="61"/>
      <c r="E125" s="19"/>
      <c r="F125" s="5"/>
      <c r="H125" s="19"/>
    </row>
    <row r="126">
      <c r="A126" s="44"/>
      <c r="C126" s="61"/>
      <c r="E126" s="19"/>
      <c r="F126" s="5"/>
      <c r="H126" s="19"/>
    </row>
    <row r="127">
      <c r="A127" s="44"/>
      <c r="C127" s="61"/>
      <c r="E127" s="19"/>
      <c r="F127" s="5"/>
      <c r="H127" s="19"/>
    </row>
    <row r="128">
      <c r="A128" s="44"/>
      <c r="C128" s="61"/>
      <c r="E128" s="19"/>
      <c r="F128" s="5"/>
      <c r="H128" s="19"/>
    </row>
    <row r="129">
      <c r="A129" s="44"/>
      <c r="C129" s="61"/>
      <c r="E129" s="19"/>
      <c r="F129" s="5"/>
      <c r="H129" s="19"/>
    </row>
    <row r="130">
      <c r="A130" s="44"/>
      <c r="C130" s="61"/>
      <c r="E130" s="19"/>
      <c r="F130" s="5"/>
      <c r="H130" s="19"/>
    </row>
    <row r="131">
      <c r="A131" s="44"/>
      <c r="C131" s="61"/>
      <c r="E131" s="19"/>
      <c r="F131" s="5"/>
      <c r="H131" s="19"/>
    </row>
    <row r="132">
      <c r="A132" s="44"/>
      <c r="C132" s="61"/>
      <c r="E132" s="19"/>
      <c r="F132" s="5"/>
      <c r="H132" s="19"/>
    </row>
    <row r="133">
      <c r="A133" s="44"/>
      <c r="C133" s="61"/>
      <c r="E133" s="19"/>
      <c r="F133" s="5"/>
      <c r="H133" s="19"/>
    </row>
    <row r="134">
      <c r="A134" s="44"/>
      <c r="C134" s="61"/>
      <c r="E134" s="19"/>
      <c r="F134" s="5"/>
      <c r="H134" s="19"/>
    </row>
    <row r="135">
      <c r="A135" s="44"/>
      <c r="C135" s="61"/>
      <c r="E135" s="19"/>
      <c r="F135" s="5"/>
      <c r="H135" s="19"/>
    </row>
    <row r="136">
      <c r="A136" s="44"/>
      <c r="C136" s="61"/>
      <c r="E136" s="19"/>
      <c r="F136" s="5"/>
      <c r="H136" s="19"/>
    </row>
    <row r="137">
      <c r="A137" s="44"/>
      <c r="C137" s="61"/>
      <c r="E137" s="19"/>
      <c r="F137" s="5"/>
      <c r="H137" s="19"/>
    </row>
    <row r="138">
      <c r="A138" s="44"/>
      <c r="C138" s="61"/>
      <c r="E138" s="19"/>
      <c r="F138" s="5"/>
      <c r="H138" s="19"/>
    </row>
    <row r="139">
      <c r="A139" s="44"/>
      <c r="C139" s="61"/>
      <c r="E139" s="19"/>
      <c r="F139" s="5"/>
      <c r="H139" s="19"/>
    </row>
    <row r="140">
      <c r="A140" s="44"/>
      <c r="C140" s="61"/>
      <c r="E140" s="19"/>
      <c r="F140" s="5"/>
      <c r="H140" s="19"/>
    </row>
    <row r="141">
      <c r="A141" s="44"/>
      <c r="C141" s="61"/>
      <c r="E141" s="19"/>
      <c r="F141" s="5"/>
      <c r="H141" s="19"/>
    </row>
    <row r="142">
      <c r="A142" s="44"/>
      <c r="C142" s="61"/>
      <c r="E142" s="19"/>
      <c r="F142" s="5"/>
      <c r="H142" s="19"/>
    </row>
    <row r="143">
      <c r="A143" s="44"/>
      <c r="C143" s="61"/>
      <c r="E143" s="19"/>
      <c r="F143" s="5"/>
      <c r="H143" s="19"/>
    </row>
    <row r="144">
      <c r="A144" s="44"/>
      <c r="C144" s="61"/>
      <c r="E144" s="19"/>
      <c r="F144" s="5"/>
      <c r="H144" s="19"/>
    </row>
    <row r="145">
      <c r="A145" s="44"/>
      <c r="C145" s="61"/>
      <c r="E145" s="19"/>
      <c r="F145" s="5"/>
      <c r="H145" s="19"/>
    </row>
    <row r="146">
      <c r="A146" s="44"/>
      <c r="C146" s="61"/>
      <c r="E146" s="19"/>
      <c r="F146" s="5"/>
      <c r="H146" s="19"/>
    </row>
    <row r="147">
      <c r="A147" s="44"/>
      <c r="C147" s="61"/>
      <c r="E147" s="19"/>
      <c r="F147" s="5"/>
      <c r="H147" s="19"/>
    </row>
    <row r="148">
      <c r="A148" s="44"/>
      <c r="C148" s="61"/>
      <c r="E148" s="19"/>
      <c r="F148" s="5"/>
      <c r="H148" s="19"/>
    </row>
    <row r="149">
      <c r="A149" s="44"/>
      <c r="C149" s="61"/>
      <c r="E149" s="19"/>
      <c r="F149" s="5"/>
      <c r="H149" s="19"/>
    </row>
    <row r="150">
      <c r="A150" s="44"/>
      <c r="C150" s="61"/>
      <c r="E150" s="19"/>
      <c r="F150" s="5"/>
      <c r="H150" s="19"/>
    </row>
    <row r="151">
      <c r="A151" s="44"/>
      <c r="C151" s="61"/>
      <c r="E151" s="19"/>
      <c r="F151" s="5"/>
      <c r="H151" s="19"/>
    </row>
    <row r="152">
      <c r="A152" s="44"/>
      <c r="C152" s="61"/>
      <c r="E152" s="19"/>
      <c r="F152" s="5"/>
      <c r="H152" s="19"/>
    </row>
    <row r="153">
      <c r="A153" s="44"/>
      <c r="C153" s="61"/>
      <c r="E153" s="19"/>
      <c r="F153" s="5"/>
      <c r="H153" s="19"/>
    </row>
    <row r="154">
      <c r="A154" s="44"/>
      <c r="C154" s="61"/>
      <c r="E154" s="19"/>
      <c r="F154" s="5"/>
      <c r="H154" s="19"/>
    </row>
    <row r="155">
      <c r="A155" s="44"/>
      <c r="C155" s="61"/>
      <c r="E155" s="19"/>
      <c r="F155" s="5"/>
      <c r="H155" s="19"/>
    </row>
    <row r="156">
      <c r="A156" s="44"/>
      <c r="C156" s="61"/>
      <c r="E156" s="19"/>
      <c r="F156" s="5"/>
      <c r="H156" s="19"/>
    </row>
    <row r="157">
      <c r="A157" s="44"/>
      <c r="C157" s="61"/>
      <c r="E157" s="19"/>
      <c r="F157" s="5"/>
      <c r="H157" s="19"/>
    </row>
    <row r="158">
      <c r="A158" s="44"/>
      <c r="C158" s="61"/>
      <c r="E158" s="19"/>
      <c r="F158" s="5"/>
      <c r="H158" s="19"/>
    </row>
    <row r="159">
      <c r="A159" s="44"/>
      <c r="C159" s="61"/>
      <c r="E159" s="19"/>
      <c r="F159" s="5"/>
      <c r="H159" s="19"/>
    </row>
    <row r="160">
      <c r="A160" s="44"/>
      <c r="C160" s="61"/>
      <c r="E160" s="19"/>
      <c r="F160" s="5"/>
      <c r="H160" s="19"/>
    </row>
    <row r="161">
      <c r="A161" s="44"/>
      <c r="C161" s="61"/>
      <c r="E161" s="19"/>
      <c r="F161" s="5"/>
      <c r="H161" s="19"/>
    </row>
    <row r="162">
      <c r="A162" s="44"/>
      <c r="C162" s="61"/>
      <c r="E162" s="19"/>
      <c r="F162" s="5"/>
      <c r="H162" s="19"/>
    </row>
    <row r="163">
      <c r="A163" s="44"/>
      <c r="C163" s="61"/>
      <c r="E163" s="19"/>
      <c r="F163" s="5"/>
      <c r="H163" s="19"/>
    </row>
    <row r="164">
      <c r="A164" s="44"/>
      <c r="C164" s="61"/>
      <c r="E164" s="19"/>
      <c r="F164" s="5"/>
      <c r="H164" s="19"/>
    </row>
    <row r="165">
      <c r="A165" s="44"/>
      <c r="C165" s="61"/>
      <c r="E165" s="19"/>
      <c r="F165" s="5"/>
      <c r="H165" s="19"/>
    </row>
    <row r="166">
      <c r="A166" s="44"/>
      <c r="C166" s="61"/>
      <c r="E166" s="19"/>
      <c r="F166" s="5"/>
      <c r="H166" s="19"/>
    </row>
    <row r="167">
      <c r="A167" s="44"/>
      <c r="C167" s="61"/>
      <c r="E167" s="19"/>
      <c r="F167" s="5"/>
      <c r="H167" s="19"/>
    </row>
    <row r="168">
      <c r="A168" s="44"/>
      <c r="C168" s="61"/>
      <c r="E168" s="19"/>
      <c r="F168" s="5"/>
      <c r="H168" s="19"/>
    </row>
    <row r="169">
      <c r="A169" s="44"/>
      <c r="C169" s="61"/>
      <c r="E169" s="19"/>
      <c r="F169" s="5"/>
      <c r="H169" s="19"/>
    </row>
    <row r="170">
      <c r="A170" s="44"/>
      <c r="C170" s="61"/>
      <c r="E170" s="19"/>
      <c r="F170" s="5"/>
      <c r="H170" s="19"/>
    </row>
    <row r="171">
      <c r="A171" s="44"/>
      <c r="C171" s="61"/>
      <c r="E171" s="19"/>
      <c r="F171" s="5"/>
      <c r="H171" s="19"/>
    </row>
    <row r="172">
      <c r="A172" s="44"/>
      <c r="C172" s="61"/>
      <c r="E172" s="19"/>
      <c r="F172" s="5"/>
      <c r="H172" s="19"/>
    </row>
    <row r="173">
      <c r="A173" s="44"/>
      <c r="C173" s="61"/>
      <c r="E173" s="19"/>
      <c r="F173" s="5"/>
      <c r="H173" s="19"/>
    </row>
    <row r="174">
      <c r="A174" s="44"/>
      <c r="C174" s="61"/>
      <c r="E174" s="19"/>
      <c r="F174" s="5"/>
      <c r="H174" s="19"/>
    </row>
    <row r="175">
      <c r="A175" s="44"/>
      <c r="C175" s="61"/>
      <c r="E175" s="19"/>
      <c r="F175" s="5"/>
      <c r="H175" s="19"/>
    </row>
    <row r="176">
      <c r="A176" s="44"/>
      <c r="C176" s="61"/>
      <c r="E176" s="19"/>
      <c r="F176" s="5"/>
      <c r="H176" s="19"/>
    </row>
    <row r="177">
      <c r="A177" s="44"/>
      <c r="C177" s="61"/>
      <c r="E177" s="19"/>
      <c r="F177" s="5"/>
      <c r="H177" s="19"/>
    </row>
    <row r="178">
      <c r="A178" s="44"/>
      <c r="C178" s="61"/>
      <c r="E178" s="19"/>
      <c r="F178" s="5"/>
      <c r="H178" s="19"/>
    </row>
    <row r="179">
      <c r="A179" s="44"/>
      <c r="C179" s="61"/>
      <c r="E179" s="19"/>
      <c r="F179" s="5"/>
      <c r="H179" s="19"/>
    </row>
    <row r="180">
      <c r="A180" s="44"/>
      <c r="C180" s="61"/>
      <c r="E180" s="19"/>
      <c r="F180" s="5"/>
      <c r="H180" s="19"/>
    </row>
    <row r="181">
      <c r="A181" s="44"/>
      <c r="C181" s="61"/>
      <c r="E181" s="19"/>
      <c r="F181" s="5"/>
      <c r="H181" s="19"/>
    </row>
    <row r="182">
      <c r="A182" s="44"/>
      <c r="C182" s="61"/>
      <c r="E182" s="19"/>
      <c r="F182" s="5"/>
      <c r="H182" s="19"/>
    </row>
    <row r="183">
      <c r="A183" s="44"/>
      <c r="C183" s="61"/>
      <c r="E183" s="19"/>
      <c r="F183" s="5"/>
      <c r="H183" s="19"/>
    </row>
    <row r="184">
      <c r="A184" s="44"/>
      <c r="C184" s="61"/>
      <c r="E184" s="19"/>
      <c r="F184" s="5"/>
      <c r="H184" s="19"/>
    </row>
    <row r="185">
      <c r="A185" s="44"/>
      <c r="C185" s="61"/>
      <c r="E185" s="19"/>
      <c r="F185" s="5"/>
      <c r="H185" s="19"/>
    </row>
    <row r="186">
      <c r="A186" s="44"/>
      <c r="C186" s="61"/>
      <c r="E186" s="19"/>
      <c r="F186" s="5"/>
      <c r="H186" s="19"/>
    </row>
    <row r="187">
      <c r="A187" s="44"/>
      <c r="C187" s="61"/>
      <c r="E187" s="19"/>
      <c r="F187" s="5"/>
      <c r="H187" s="19"/>
    </row>
    <row r="188">
      <c r="A188" s="44"/>
      <c r="C188" s="61"/>
      <c r="E188" s="19"/>
      <c r="F188" s="5"/>
      <c r="H188" s="19"/>
    </row>
    <row r="189">
      <c r="A189" s="44"/>
      <c r="C189" s="61"/>
      <c r="E189" s="19"/>
      <c r="F189" s="5"/>
      <c r="H189" s="19"/>
    </row>
    <row r="190">
      <c r="A190" s="44"/>
      <c r="C190" s="61"/>
      <c r="E190" s="19"/>
      <c r="F190" s="5"/>
      <c r="H190" s="19"/>
    </row>
    <row r="191">
      <c r="A191" s="44"/>
      <c r="C191" s="61"/>
      <c r="E191" s="19"/>
      <c r="F191" s="5"/>
      <c r="H191" s="19"/>
    </row>
    <row r="192">
      <c r="A192" s="44"/>
      <c r="C192" s="61"/>
      <c r="E192" s="19"/>
      <c r="F192" s="5"/>
      <c r="H192" s="19"/>
    </row>
    <row r="193">
      <c r="A193" s="44"/>
      <c r="C193" s="61"/>
      <c r="E193" s="19"/>
      <c r="F193" s="5"/>
      <c r="H193" s="19"/>
    </row>
    <row r="194">
      <c r="A194" s="44"/>
      <c r="C194" s="61"/>
      <c r="E194" s="19"/>
      <c r="F194" s="5"/>
      <c r="H194" s="19"/>
    </row>
    <row r="195">
      <c r="A195" s="44"/>
      <c r="C195" s="61"/>
      <c r="E195" s="19"/>
      <c r="F195" s="5"/>
      <c r="H195" s="19"/>
    </row>
    <row r="196">
      <c r="A196" s="44"/>
      <c r="C196" s="61"/>
      <c r="E196" s="19"/>
      <c r="F196" s="5"/>
      <c r="H196" s="19"/>
    </row>
    <row r="197">
      <c r="A197" s="44"/>
      <c r="C197" s="61"/>
      <c r="E197" s="19"/>
      <c r="F197" s="5"/>
      <c r="H197" s="19"/>
    </row>
    <row r="198">
      <c r="A198" s="44"/>
      <c r="C198" s="61"/>
      <c r="E198" s="19"/>
      <c r="F198" s="5"/>
      <c r="H198" s="19"/>
    </row>
    <row r="199">
      <c r="A199" s="44"/>
      <c r="C199" s="61"/>
      <c r="E199" s="19"/>
      <c r="F199" s="5"/>
      <c r="H199" s="19"/>
    </row>
    <row r="200">
      <c r="A200" s="44"/>
      <c r="C200" s="61"/>
      <c r="E200" s="19"/>
      <c r="F200" s="5"/>
      <c r="H200" s="19"/>
    </row>
    <row r="201">
      <c r="A201" s="44"/>
      <c r="C201" s="61"/>
      <c r="E201" s="19"/>
      <c r="F201" s="5"/>
      <c r="H201" s="19"/>
    </row>
    <row r="202">
      <c r="A202" s="44"/>
      <c r="C202" s="61"/>
      <c r="E202" s="19"/>
      <c r="F202" s="5"/>
      <c r="H202" s="19"/>
    </row>
    <row r="203">
      <c r="A203" s="44"/>
      <c r="C203" s="61"/>
      <c r="E203" s="19"/>
      <c r="F203" s="5"/>
      <c r="H203" s="19"/>
    </row>
    <row r="204">
      <c r="A204" s="44"/>
      <c r="C204" s="61"/>
      <c r="E204" s="19"/>
      <c r="F204" s="5"/>
      <c r="H204" s="19"/>
    </row>
    <row r="205">
      <c r="A205" s="44"/>
      <c r="C205" s="61"/>
      <c r="E205" s="19"/>
      <c r="F205" s="5"/>
      <c r="H205" s="19"/>
    </row>
    <row r="206">
      <c r="A206" s="44"/>
      <c r="C206" s="61"/>
      <c r="E206" s="19"/>
      <c r="F206" s="5"/>
      <c r="H206" s="19"/>
    </row>
    <row r="207">
      <c r="A207" s="44"/>
      <c r="C207" s="61"/>
      <c r="E207" s="19"/>
      <c r="F207" s="5"/>
      <c r="H207" s="19"/>
    </row>
    <row r="208">
      <c r="A208" s="44"/>
      <c r="C208" s="61"/>
      <c r="E208" s="19"/>
      <c r="F208" s="5"/>
      <c r="H208" s="19"/>
    </row>
    <row r="209">
      <c r="A209" s="44"/>
      <c r="C209" s="61"/>
      <c r="E209" s="19"/>
      <c r="F209" s="5"/>
      <c r="H209" s="19"/>
    </row>
    <row r="210">
      <c r="A210" s="44"/>
      <c r="C210" s="61"/>
      <c r="E210" s="19"/>
      <c r="F210" s="5"/>
      <c r="H210" s="19"/>
    </row>
    <row r="211">
      <c r="A211" s="44"/>
      <c r="C211" s="61"/>
      <c r="E211" s="19"/>
      <c r="F211" s="5"/>
      <c r="H211" s="19"/>
    </row>
    <row r="212">
      <c r="A212" s="44"/>
      <c r="C212" s="61"/>
      <c r="E212" s="19"/>
      <c r="F212" s="5"/>
      <c r="H212" s="19"/>
    </row>
    <row r="213">
      <c r="A213" s="44"/>
      <c r="C213" s="61"/>
      <c r="E213" s="19"/>
      <c r="F213" s="5"/>
      <c r="H213" s="19"/>
    </row>
    <row r="214">
      <c r="A214" s="44"/>
      <c r="C214" s="61"/>
      <c r="E214" s="19"/>
      <c r="F214" s="5"/>
      <c r="H214" s="19"/>
    </row>
    <row r="215">
      <c r="A215" s="44"/>
      <c r="C215" s="61"/>
      <c r="E215" s="19"/>
      <c r="F215" s="5"/>
      <c r="H215" s="19"/>
    </row>
    <row r="216">
      <c r="A216" s="44"/>
      <c r="C216" s="61"/>
      <c r="E216" s="19"/>
      <c r="F216" s="5"/>
      <c r="H216" s="19"/>
    </row>
    <row r="217">
      <c r="A217" s="44"/>
      <c r="C217" s="61"/>
      <c r="E217" s="19"/>
      <c r="F217" s="5"/>
      <c r="H217" s="19"/>
    </row>
    <row r="218">
      <c r="A218" s="44"/>
      <c r="C218" s="61"/>
      <c r="E218" s="19"/>
      <c r="F218" s="5"/>
      <c r="H218" s="19"/>
    </row>
    <row r="219">
      <c r="A219" s="44"/>
      <c r="C219" s="61"/>
      <c r="E219" s="19"/>
      <c r="F219" s="5"/>
      <c r="H219" s="19"/>
    </row>
    <row r="220">
      <c r="A220" s="44"/>
      <c r="C220" s="61"/>
      <c r="E220" s="19"/>
      <c r="F220" s="5"/>
      <c r="H220" s="19"/>
    </row>
    <row r="221">
      <c r="A221" s="44"/>
      <c r="C221" s="61"/>
      <c r="E221" s="19"/>
      <c r="F221" s="5"/>
      <c r="H221" s="19"/>
    </row>
    <row r="222">
      <c r="A222" s="44"/>
      <c r="C222" s="61"/>
      <c r="E222" s="19"/>
      <c r="F222" s="5"/>
      <c r="H222" s="19"/>
    </row>
    <row r="223">
      <c r="A223" s="44"/>
      <c r="C223" s="61"/>
      <c r="E223" s="19"/>
      <c r="F223" s="5"/>
      <c r="H223" s="19"/>
    </row>
    <row r="224">
      <c r="A224" s="44"/>
      <c r="C224" s="61"/>
      <c r="E224" s="19"/>
      <c r="F224" s="5"/>
      <c r="H224" s="19"/>
    </row>
    <row r="225">
      <c r="A225" s="44"/>
      <c r="C225" s="61"/>
      <c r="E225" s="19"/>
      <c r="F225" s="5"/>
      <c r="H225" s="19"/>
    </row>
    <row r="226">
      <c r="A226" s="44"/>
      <c r="C226" s="61"/>
      <c r="E226" s="19"/>
      <c r="F226" s="5"/>
      <c r="H226" s="19"/>
    </row>
    <row r="227">
      <c r="A227" s="44"/>
      <c r="C227" s="61"/>
      <c r="E227" s="19"/>
      <c r="F227" s="5"/>
      <c r="H227" s="19"/>
    </row>
    <row r="228">
      <c r="A228" s="44"/>
      <c r="C228" s="61"/>
      <c r="E228" s="19"/>
      <c r="F228" s="5"/>
      <c r="H228" s="19"/>
    </row>
    <row r="229">
      <c r="A229" s="44"/>
      <c r="C229" s="61"/>
      <c r="E229" s="19"/>
      <c r="F229" s="5"/>
      <c r="H229" s="19"/>
    </row>
    <row r="230">
      <c r="A230" s="44"/>
      <c r="C230" s="61"/>
      <c r="E230" s="19"/>
      <c r="F230" s="5"/>
      <c r="H230" s="19"/>
    </row>
    <row r="231">
      <c r="A231" s="44"/>
      <c r="C231" s="61"/>
      <c r="E231" s="19"/>
      <c r="F231" s="5"/>
      <c r="H231" s="19"/>
    </row>
    <row r="232">
      <c r="A232" s="44"/>
      <c r="C232" s="61"/>
      <c r="E232" s="19"/>
      <c r="F232" s="5"/>
      <c r="H232" s="19"/>
    </row>
    <row r="233">
      <c r="A233" s="44"/>
      <c r="C233" s="61"/>
      <c r="E233" s="19"/>
      <c r="F233" s="5"/>
      <c r="H233" s="19"/>
    </row>
    <row r="234">
      <c r="A234" s="44"/>
      <c r="C234" s="61"/>
      <c r="E234" s="19"/>
      <c r="F234" s="5"/>
      <c r="H234" s="19"/>
    </row>
    <row r="235">
      <c r="A235" s="44"/>
      <c r="C235" s="61"/>
      <c r="E235" s="19"/>
      <c r="F235" s="5"/>
      <c r="H235" s="19"/>
    </row>
    <row r="236">
      <c r="A236" s="44"/>
      <c r="C236" s="61"/>
      <c r="E236" s="19"/>
      <c r="F236" s="5"/>
      <c r="H236" s="19"/>
    </row>
    <row r="237">
      <c r="A237" s="44"/>
      <c r="C237" s="61"/>
      <c r="E237" s="19"/>
      <c r="F237" s="5"/>
      <c r="H237" s="19"/>
    </row>
    <row r="238">
      <c r="A238" s="44"/>
      <c r="C238" s="61"/>
      <c r="E238" s="19"/>
      <c r="F238" s="5"/>
      <c r="H238" s="19"/>
    </row>
    <row r="239">
      <c r="A239" s="44"/>
      <c r="C239" s="61"/>
      <c r="E239" s="19"/>
      <c r="F239" s="5"/>
      <c r="H239" s="19"/>
    </row>
    <row r="240">
      <c r="A240" s="44"/>
      <c r="C240" s="61"/>
      <c r="E240" s="19"/>
      <c r="F240" s="5"/>
      <c r="H240" s="19"/>
    </row>
    <row r="241">
      <c r="A241" s="44"/>
      <c r="C241" s="61"/>
      <c r="E241" s="19"/>
      <c r="F241" s="5"/>
      <c r="H241" s="19"/>
    </row>
    <row r="242">
      <c r="A242" s="44"/>
      <c r="C242" s="61"/>
      <c r="E242" s="19"/>
      <c r="F242" s="5"/>
      <c r="H242" s="19"/>
    </row>
    <row r="243">
      <c r="A243" s="44"/>
      <c r="C243" s="61"/>
      <c r="E243" s="19"/>
      <c r="F243" s="5"/>
      <c r="H243" s="19"/>
    </row>
    <row r="244">
      <c r="A244" s="44"/>
      <c r="C244" s="61"/>
      <c r="E244" s="19"/>
      <c r="F244" s="5"/>
      <c r="H244" s="19"/>
    </row>
    <row r="245">
      <c r="A245" s="44"/>
      <c r="C245" s="61"/>
      <c r="E245" s="19"/>
      <c r="F245" s="5"/>
      <c r="H245" s="19"/>
    </row>
    <row r="246">
      <c r="A246" s="44"/>
      <c r="C246" s="61"/>
      <c r="E246" s="19"/>
      <c r="F246" s="5"/>
      <c r="H246" s="19"/>
    </row>
    <row r="247">
      <c r="A247" s="44"/>
      <c r="C247" s="61"/>
      <c r="E247" s="19"/>
      <c r="F247" s="5"/>
      <c r="H247" s="19"/>
    </row>
    <row r="248">
      <c r="A248" s="44"/>
      <c r="C248" s="61"/>
      <c r="E248" s="19"/>
      <c r="F248" s="5"/>
      <c r="H248" s="19"/>
    </row>
    <row r="249">
      <c r="A249" s="44"/>
      <c r="C249" s="61"/>
      <c r="E249" s="19"/>
      <c r="F249" s="5"/>
      <c r="H249" s="19"/>
    </row>
    <row r="250">
      <c r="A250" s="44"/>
      <c r="C250" s="61"/>
      <c r="E250" s="19"/>
      <c r="F250" s="5"/>
      <c r="H250" s="19"/>
    </row>
    <row r="251">
      <c r="A251" s="44"/>
      <c r="C251" s="61"/>
      <c r="E251" s="19"/>
      <c r="F251" s="5"/>
      <c r="H251" s="19"/>
    </row>
    <row r="252">
      <c r="A252" s="44"/>
      <c r="C252" s="61"/>
      <c r="E252" s="19"/>
      <c r="F252" s="5"/>
      <c r="H252" s="19"/>
    </row>
    <row r="253">
      <c r="A253" s="44"/>
      <c r="C253" s="61"/>
      <c r="E253" s="19"/>
      <c r="F253" s="5"/>
      <c r="H253" s="19"/>
    </row>
    <row r="254">
      <c r="A254" s="44"/>
      <c r="C254" s="61"/>
      <c r="E254" s="19"/>
      <c r="F254" s="5"/>
      <c r="H254" s="19"/>
    </row>
    <row r="255">
      <c r="A255" s="44"/>
      <c r="C255" s="61"/>
      <c r="E255" s="19"/>
      <c r="F255" s="5"/>
      <c r="H255" s="19"/>
    </row>
    <row r="256">
      <c r="A256" s="44"/>
      <c r="C256" s="61"/>
      <c r="E256" s="19"/>
      <c r="F256" s="5"/>
      <c r="H256" s="19"/>
    </row>
    <row r="257">
      <c r="A257" s="44"/>
      <c r="C257" s="61"/>
      <c r="E257" s="19"/>
      <c r="F257" s="5"/>
      <c r="H257" s="19"/>
    </row>
    <row r="258">
      <c r="A258" s="44"/>
      <c r="C258" s="61"/>
      <c r="E258" s="19"/>
      <c r="F258" s="5"/>
      <c r="H258" s="19"/>
    </row>
    <row r="259">
      <c r="A259" s="44"/>
      <c r="C259" s="61"/>
      <c r="E259" s="19"/>
      <c r="F259" s="5"/>
      <c r="H259" s="19"/>
    </row>
    <row r="260">
      <c r="A260" s="44"/>
      <c r="C260" s="61"/>
      <c r="E260" s="19"/>
      <c r="F260" s="5"/>
      <c r="H260" s="19"/>
    </row>
    <row r="261">
      <c r="A261" s="44"/>
      <c r="C261" s="61"/>
      <c r="E261" s="19"/>
      <c r="F261" s="5"/>
      <c r="H261" s="19"/>
    </row>
    <row r="262">
      <c r="A262" s="44"/>
      <c r="C262" s="61"/>
      <c r="E262" s="19"/>
      <c r="F262" s="5"/>
      <c r="H262" s="19"/>
    </row>
    <row r="263">
      <c r="A263" s="44"/>
      <c r="C263" s="61"/>
      <c r="E263" s="19"/>
      <c r="F263" s="5"/>
      <c r="H263" s="19"/>
    </row>
    <row r="264">
      <c r="A264" s="44"/>
      <c r="C264" s="61"/>
      <c r="E264" s="19"/>
      <c r="F264" s="5"/>
      <c r="H264" s="19"/>
    </row>
    <row r="265">
      <c r="A265" s="44"/>
      <c r="C265" s="61"/>
      <c r="E265" s="19"/>
      <c r="F265" s="5"/>
      <c r="H265" s="19"/>
    </row>
    <row r="266">
      <c r="A266" s="44"/>
      <c r="C266" s="61"/>
      <c r="E266" s="19"/>
      <c r="F266" s="5"/>
      <c r="H266" s="19"/>
    </row>
    <row r="267">
      <c r="A267" s="44"/>
      <c r="C267" s="61"/>
      <c r="E267" s="19"/>
      <c r="F267" s="5"/>
      <c r="H267" s="19"/>
    </row>
    <row r="268">
      <c r="A268" s="44"/>
      <c r="C268" s="61"/>
      <c r="E268" s="19"/>
      <c r="F268" s="5"/>
      <c r="H268" s="19"/>
    </row>
    <row r="269">
      <c r="A269" s="44"/>
      <c r="C269" s="61"/>
      <c r="E269" s="19"/>
      <c r="F269" s="5"/>
      <c r="H269" s="19"/>
    </row>
    <row r="270">
      <c r="A270" s="44"/>
      <c r="C270" s="61"/>
      <c r="E270" s="19"/>
      <c r="F270" s="5"/>
      <c r="H270" s="19"/>
    </row>
    <row r="271">
      <c r="A271" s="44"/>
      <c r="C271" s="61"/>
      <c r="E271" s="19"/>
      <c r="F271" s="5"/>
      <c r="H271" s="19"/>
    </row>
    <row r="272">
      <c r="A272" s="44"/>
      <c r="C272" s="61"/>
      <c r="E272" s="19"/>
      <c r="F272" s="5"/>
      <c r="H272" s="19"/>
    </row>
    <row r="273">
      <c r="A273" s="44"/>
      <c r="C273" s="61"/>
      <c r="E273" s="19"/>
      <c r="F273" s="5"/>
      <c r="H273" s="19"/>
    </row>
    <row r="274">
      <c r="A274" s="44"/>
      <c r="C274" s="61"/>
      <c r="E274" s="19"/>
      <c r="F274" s="5"/>
      <c r="H274" s="19"/>
    </row>
    <row r="275">
      <c r="A275" s="44"/>
      <c r="C275" s="61"/>
      <c r="E275" s="19"/>
      <c r="F275" s="5"/>
      <c r="H275" s="19"/>
    </row>
    <row r="276">
      <c r="A276" s="44"/>
      <c r="C276" s="61"/>
      <c r="E276" s="19"/>
      <c r="F276" s="5"/>
      <c r="H276" s="19"/>
    </row>
    <row r="277">
      <c r="A277" s="44"/>
      <c r="C277" s="61"/>
      <c r="E277" s="19"/>
      <c r="F277" s="5"/>
      <c r="H277" s="19"/>
    </row>
    <row r="278">
      <c r="A278" s="44"/>
      <c r="C278" s="61"/>
      <c r="E278" s="19"/>
      <c r="F278" s="5"/>
      <c r="H278" s="19"/>
    </row>
    <row r="279">
      <c r="A279" s="44"/>
      <c r="C279" s="61"/>
      <c r="E279" s="19"/>
      <c r="F279" s="5"/>
      <c r="H279" s="19"/>
    </row>
    <row r="280">
      <c r="A280" s="44"/>
      <c r="C280" s="61"/>
      <c r="E280" s="19"/>
      <c r="F280" s="5"/>
      <c r="H280" s="19"/>
    </row>
    <row r="281">
      <c r="A281" s="44"/>
      <c r="C281" s="61"/>
      <c r="E281" s="19"/>
      <c r="F281" s="5"/>
      <c r="H281" s="19"/>
    </row>
    <row r="282">
      <c r="A282" s="44"/>
      <c r="C282" s="61"/>
      <c r="E282" s="19"/>
      <c r="F282" s="5"/>
      <c r="H282" s="19"/>
    </row>
    <row r="283">
      <c r="A283" s="44"/>
      <c r="C283" s="61"/>
      <c r="E283" s="19"/>
      <c r="F283" s="5"/>
      <c r="H283" s="19"/>
    </row>
    <row r="284">
      <c r="A284" s="44"/>
      <c r="C284" s="61"/>
      <c r="E284" s="19"/>
      <c r="F284" s="5"/>
      <c r="H284" s="19"/>
    </row>
    <row r="285">
      <c r="A285" s="44"/>
      <c r="C285" s="61"/>
      <c r="E285" s="19"/>
      <c r="F285" s="5"/>
      <c r="H285" s="19"/>
    </row>
    <row r="286">
      <c r="A286" s="44"/>
      <c r="C286" s="61"/>
      <c r="E286" s="19"/>
      <c r="F286" s="5"/>
      <c r="H286" s="19"/>
    </row>
    <row r="287">
      <c r="A287" s="44"/>
      <c r="C287" s="61"/>
      <c r="E287" s="19"/>
      <c r="F287" s="5"/>
      <c r="H287" s="19"/>
    </row>
    <row r="288">
      <c r="A288" s="44"/>
      <c r="C288" s="61"/>
      <c r="E288" s="19"/>
      <c r="F288" s="5"/>
      <c r="H288" s="19"/>
    </row>
    <row r="289">
      <c r="A289" s="44"/>
      <c r="C289" s="61"/>
      <c r="E289" s="19"/>
      <c r="F289" s="5"/>
      <c r="H289" s="19"/>
    </row>
    <row r="290">
      <c r="A290" s="44"/>
      <c r="C290" s="61"/>
      <c r="E290" s="19"/>
      <c r="F290" s="5"/>
      <c r="H290" s="19"/>
    </row>
    <row r="291">
      <c r="A291" s="44"/>
      <c r="C291" s="61"/>
      <c r="E291" s="19"/>
      <c r="F291" s="5"/>
      <c r="H291" s="19"/>
    </row>
    <row r="292">
      <c r="A292" s="44"/>
      <c r="C292" s="61"/>
      <c r="E292" s="19"/>
      <c r="F292" s="5"/>
      <c r="H292" s="19"/>
    </row>
    <row r="293">
      <c r="A293" s="44"/>
      <c r="C293" s="61"/>
      <c r="E293" s="19"/>
      <c r="F293" s="5"/>
      <c r="H293" s="19"/>
    </row>
    <row r="294">
      <c r="A294" s="44"/>
      <c r="C294" s="61"/>
      <c r="E294" s="19"/>
      <c r="F294" s="5"/>
      <c r="H294" s="19"/>
    </row>
    <row r="295">
      <c r="A295" s="44"/>
      <c r="C295" s="61"/>
      <c r="E295" s="19"/>
      <c r="F295" s="5"/>
      <c r="H295" s="19"/>
    </row>
    <row r="296">
      <c r="A296" s="44"/>
      <c r="C296" s="61"/>
      <c r="E296" s="19"/>
      <c r="F296" s="5"/>
      <c r="H296" s="19"/>
    </row>
    <row r="297">
      <c r="A297" s="44"/>
      <c r="C297" s="61"/>
      <c r="E297" s="19"/>
      <c r="F297" s="5"/>
      <c r="H297" s="19"/>
    </row>
    <row r="298">
      <c r="A298" s="44"/>
      <c r="C298" s="61"/>
      <c r="E298" s="19"/>
      <c r="F298" s="5"/>
      <c r="H298" s="19"/>
    </row>
    <row r="299">
      <c r="A299" s="44"/>
      <c r="C299" s="61"/>
      <c r="E299" s="19"/>
      <c r="F299" s="5"/>
      <c r="H299" s="19"/>
    </row>
    <row r="300">
      <c r="A300" s="44"/>
      <c r="C300" s="61"/>
      <c r="E300" s="19"/>
      <c r="F300" s="5"/>
      <c r="H300" s="19"/>
    </row>
    <row r="301">
      <c r="A301" s="44"/>
      <c r="C301" s="61"/>
      <c r="E301" s="19"/>
      <c r="F301" s="5"/>
      <c r="H301" s="19"/>
    </row>
    <row r="302">
      <c r="A302" s="44"/>
      <c r="C302" s="61"/>
      <c r="E302" s="19"/>
      <c r="F302" s="5"/>
      <c r="H302" s="19"/>
    </row>
    <row r="303">
      <c r="A303" s="44"/>
      <c r="C303" s="61"/>
      <c r="E303" s="19"/>
      <c r="F303" s="5"/>
      <c r="H303" s="19"/>
    </row>
    <row r="304">
      <c r="A304" s="44"/>
      <c r="C304" s="61"/>
      <c r="E304" s="19"/>
      <c r="F304" s="5"/>
      <c r="H304" s="19"/>
    </row>
    <row r="305">
      <c r="A305" s="44"/>
      <c r="C305" s="61"/>
      <c r="E305" s="19"/>
      <c r="F305" s="5"/>
      <c r="H305" s="19"/>
    </row>
    <row r="306">
      <c r="A306" s="44"/>
      <c r="C306" s="61"/>
      <c r="E306" s="19"/>
      <c r="F306" s="5"/>
      <c r="H306" s="19"/>
    </row>
    <row r="307">
      <c r="A307" s="44"/>
      <c r="C307" s="61"/>
      <c r="E307" s="19"/>
      <c r="F307" s="5"/>
      <c r="H307" s="19"/>
    </row>
    <row r="308">
      <c r="A308" s="44"/>
      <c r="C308" s="61"/>
      <c r="E308" s="19"/>
      <c r="F308" s="5"/>
      <c r="H308" s="19"/>
    </row>
    <row r="309">
      <c r="A309" s="44"/>
      <c r="C309" s="61"/>
      <c r="E309" s="19"/>
      <c r="F309" s="5"/>
      <c r="H309" s="19"/>
    </row>
    <row r="310">
      <c r="A310" s="44"/>
      <c r="C310" s="61"/>
      <c r="E310" s="19"/>
      <c r="F310" s="5"/>
      <c r="H310" s="19"/>
    </row>
    <row r="311">
      <c r="A311" s="44"/>
      <c r="C311" s="61"/>
      <c r="E311" s="19"/>
      <c r="F311" s="5"/>
      <c r="H311" s="19"/>
    </row>
    <row r="312">
      <c r="A312" s="44"/>
      <c r="C312" s="61"/>
      <c r="E312" s="19"/>
      <c r="F312" s="5"/>
      <c r="H312" s="19"/>
    </row>
    <row r="313">
      <c r="A313" s="44"/>
      <c r="C313" s="61"/>
      <c r="E313" s="19"/>
      <c r="F313" s="5"/>
      <c r="H313" s="19"/>
    </row>
    <row r="314">
      <c r="A314" s="44"/>
      <c r="C314" s="61"/>
      <c r="E314" s="19"/>
      <c r="F314" s="5"/>
      <c r="H314" s="19"/>
    </row>
    <row r="315">
      <c r="A315" s="44"/>
      <c r="C315" s="61"/>
      <c r="E315" s="19"/>
      <c r="F315" s="5"/>
      <c r="H315" s="19"/>
    </row>
    <row r="316">
      <c r="A316" s="44"/>
      <c r="C316" s="61"/>
      <c r="E316" s="19"/>
      <c r="F316" s="5"/>
      <c r="H316" s="19"/>
    </row>
    <row r="317">
      <c r="A317" s="44"/>
      <c r="C317" s="61"/>
      <c r="E317" s="19"/>
      <c r="F317" s="5"/>
      <c r="H317" s="19"/>
    </row>
    <row r="318">
      <c r="A318" s="44"/>
      <c r="C318" s="61"/>
      <c r="E318" s="19"/>
      <c r="F318" s="5"/>
      <c r="H318" s="19"/>
    </row>
    <row r="319">
      <c r="A319" s="44"/>
      <c r="C319" s="61"/>
      <c r="E319" s="19"/>
      <c r="F319" s="5"/>
      <c r="H319" s="19"/>
    </row>
    <row r="320">
      <c r="A320" s="44"/>
      <c r="C320" s="61"/>
      <c r="E320" s="19"/>
      <c r="F320" s="5"/>
      <c r="H320" s="19"/>
    </row>
    <row r="321">
      <c r="A321" s="44"/>
      <c r="C321" s="61"/>
      <c r="E321" s="19"/>
      <c r="F321" s="5"/>
      <c r="H321" s="19"/>
    </row>
    <row r="322">
      <c r="A322" s="44"/>
      <c r="C322" s="61"/>
      <c r="E322" s="19"/>
      <c r="F322" s="5"/>
      <c r="H322" s="19"/>
    </row>
    <row r="323">
      <c r="A323" s="44"/>
      <c r="C323" s="61"/>
      <c r="E323" s="19"/>
      <c r="F323" s="5"/>
      <c r="H323" s="19"/>
    </row>
    <row r="324">
      <c r="A324" s="44"/>
      <c r="C324" s="61"/>
      <c r="E324" s="19"/>
      <c r="F324" s="5"/>
      <c r="H324" s="19"/>
    </row>
    <row r="325">
      <c r="A325" s="44"/>
      <c r="C325" s="61"/>
      <c r="E325" s="19"/>
      <c r="F325" s="5"/>
      <c r="H325" s="19"/>
    </row>
    <row r="326">
      <c r="A326" s="44"/>
      <c r="C326" s="61"/>
      <c r="E326" s="19"/>
      <c r="F326" s="5"/>
      <c r="H326" s="19"/>
    </row>
    <row r="327">
      <c r="A327" s="44"/>
      <c r="C327" s="61"/>
      <c r="E327" s="19"/>
      <c r="F327" s="5"/>
      <c r="H327" s="19"/>
    </row>
    <row r="328">
      <c r="A328" s="44"/>
      <c r="C328" s="61"/>
      <c r="E328" s="19"/>
      <c r="F328" s="5"/>
      <c r="H328" s="19"/>
    </row>
    <row r="329">
      <c r="A329" s="44"/>
      <c r="C329" s="61"/>
      <c r="E329" s="19"/>
      <c r="F329" s="5"/>
      <c r="H329" s="19"/>
    </row>
    <row r="330">
      <c r="A330" s="44"/>
      <c r="C330" s="61"/>
      <c r="E330" s="19"/>
      <c r="F330" s="5"/>
      <c r="H330" s="19"/>
    </row>
    <row r="331">
      <c r="A331" s="44"/>
      <c r="C331" s="61"/>
      <c r="E331" s="19"/>
      <c r="F331" s="5"/>
      <c r="H331" s="19"/>
    </row>
    <row r="332">
      <c r="A332" s="44"/>
      <c r="C332" s="61"/>
      <c r="E332" s="19"/>
      <c r="F332" s="5"/>
      <c r="H332" s="19"/>
    </row>
    <row r="333">
      <c r="A333" s="44"/>
      <c r="C333" s="61"/>
      <c r="E333" s="19"/>
      <c r="F333" s="5"/>
      <c r="H333" s="19"/>
    </row>
    <row r="334">
      <c r="A334" s="44"/>
      <c r="C334" s="61"/>
      <c r="E334" s="19"/>
      <c r="F334" s="5"/>
      <c r="H334" s="19"/>
    </row>
    <row r="335">
      <c r="A335" s="44"/>
      <c r="C335" s="61"/>
      <c r="E335" s="19"/>
      <c r="F335" s="5"/>
      <c r="H335" s="19"/>
    </row>
    <row r="336">
      <c r="A336" s="44"/>
      <c r="C336" s="61"/>
      <c r="E336" s="19"/>
      <c r="F336" s="5"/>
      <c r="H336" s="19"/>
    </row>
    <row r="337">
      <c r="A337" s="44"/>
      <c r="C337" s="61"/>
      <c r="E337" s="19"/>
      <c r="F337" s="5"/>
      <c r="H337" s="19"/>
    </row>
    <row r="338">
      <c r="A338" s="44"/>
      <c r="C338" s="61"/>
      <c r="E338" s="19"/>
      <c r="F338" s="5"/>
      <c r="H338" s="19"/>
    </row>
    <row r="339">
      <c r="A339" s="44"/>
      <c r="C339" s="61"/>
      <c r="E339" s="19"/>
      <c r="F339" s="5"/>
      <c r="H339" s="19"/>
    </row>
    <row r="340">
      <c r="A340" s="44"/>
      <c r="C340" s="61"/>
      <c r="E340" s="19"/>
      <c r="F340" s="5"/>
      <c r="H340" s="19"/>
    </row>
    <row r="341">
      <c r="A341" s="44"/>
      <c r="C341" s="61"/>
      <c r="E341" s="19"/>
      <c r="F341" s="5"/>
      <c r="H341" s="19"/>
    </row>
    <row r="342">
      <c r="A342" s="44"/>
      <c r="C342" s="61"/>
      <c r="E342" s="19"/>
      <c r="F342" s="5"/>
      <c r="H342" s="19"/>
    </row>
    <row r="343">
      <c r="A343" s="44"/>
      <c r="C343" s="61"/>
      <c r="E343" s="19"/>
      <c r="F343" s="5"/>
      <c r="H343" s="19"/>
    </row>
    <row r="344">
      <c r="A344" s="44"/>
      <c r="C344" s="61"/>
      <c r="E344" s="19"/>
      <c r="F344" s="5"/>
      <c r="H344" s="19"/>
    </row>
    <row r="345">
      <c r="A345" s="44"/>
      <c r="C345" s="61"/>
      <c r="E345" s="19"/>
      <c r="F345" s="5"/>
      <c r="H345" s="19"/>
    </row>
    <row r="346">
      <c r="A346" s="44"/>
      <c r="C346" s="61"/>
      <c r="E346" s="19"/>
      <c r="F346" s="5"/>
      <c r="H346" s="19"/>
    </row>
    <row r="347">
      <c r="A347" s="44"/>
      <c r="C347" s="61"/>
      <c r="E347" s="19"/>
      <c r="F347" s="5"/>
      <c r="H347" s="19"/>
    </row>
    <row r="348">
      <c r="A348" s="44"/>
      <c r="C348" s="61"/>
      <c r="E348" s="19"/>
      <c r="F348" s="5"/>
      <c r="H348" s="19"/>
    </row>
    <row r="349">
      <c r="A349" s="44"/>
      <c r="C349" s="61"/>
      <c r="E349" s="19"/>
      <c r="F349" s="5"/>
      <c r="H349" s="19"/>
    </row>
    <row r="350">
      <c r="A350" s="44"/>
      <c r="C350" s="61"/>
      <c r="E350" s="19"/>
      <c r="F350" s="5"/>
      <c r="H350" s="19"/>
    </row>
    <row r="351">
      <c r="A351" s="44"/>
      <c r="C351" s="61"/>
      <c r="E351" s="19"/>
      <c r="F351" s="5"/>
      <c r="H351" s="19"/>
    </row>
    <row r="352">
      <c r="A352" s="44"/>
      <c r="C352" s="61"/>
      <c r="E352" s="19"/>
      <c r="F352" s="5"/>
      <c r="H352" s="19"/>
    </row>
    <row r="353">
      <c r="A353" s="44"/>
      <c r="C353" s="61"/>
      <c r="E353" s="19"/>
      <c r="F353" s="5"/>
      <c r="H353" s="19"/>
    </row>
    <row r="354">
      <c r="A354" s="44"/>
      <c r="C354" s="61"/>
      <c r="E354" s="19"/>
      <c r="F354" s="5"/>
      <c r="H354" s="19"/>
    </row>
    <row r="355">
      <c r="A355" s="44"/>
      <c r="C355" s="61"/>
      <c r="E355" s="19"/>
      <c r="F355" s="5"/>
      <c r="H355" s="19"/>
    </row>
    <row r="356">
      <c r="A356" s="44"/>
      <c r="C356" s="61"/>
      <c r="E356" s="19"/>
      <c r="F356" s="5"/>
      <c r="H356" s="19"/>
    </row>
    <row r="357">
      <c r="A357" s="44"/>
      <c r="C357" s="61"/>
      <c r="E357" s="19"/>
      <c r="F357" s="5"/>
      <c r="H357" s="19"/>
    </row>
    <row r="358">
      <c r="A358" s="44"/>
      <c r="C358" s="61"/>
      <c r="E358" s="19"/>
      <c r="F358" s="5"/>
      <c r="H358" s="19"/>
    </row>
    <row r="359">
      <c r="A359" s="44"/>
      <c r="C359" s="61"/>
      <c r="E359" s="19"/>
      <c r="F359" s="5"/>
      <c r="H359" s="19"/>
    </row>
    <row r="360">
      <c r="A360" s="44"/>
      <c r="C360" s="61"/>
      <c r="E360" s="19"/>
      <c r="F360" s="5"/>
      <c r="H360" s="19"/>
    </row>
    <row r="361">
      <c r="A361" s="44"/>
      <c r="C361" s="61"/>
      <c r="E361" s="19"/>
      <c r="F361" s="5"/>
      <c r="H361" s="19"/>
    </row>
    <row r="362">
      <c r="A362" s="44"/>
      <c r="C362" s="61"/>
      <c r="E362" s="19"/>
      <c r="F362" s="5"/>
      <c r="H362" s="19"/>
    </row>
    <row r="363">
      <c r="A363" s="44"/>
      <c r="C363" s="61"/>
      <c r="E363" s="19"/>
      <c r="F363" s="5"/>
      <c r="H363" s="19"/>
    </row>
    <row r="364">
      <c r="A364" s="44"/>
      <c r="C364" s="61"/>
      <c r="E364" s="19"/>
      <c r="F364" s="5"/>
      <c r="H364" s="19"/>
    </row>
    <row r="365">
      <c r="A365" s="44"/>
      <c r="C365" s="61"/>
      <c r="E365" s="19"/>
      <c r="F365" s="5"/>
      <c r="H365" s="19"/>
    </row>
    <row r="366">
      <c r="A366" s="44"/>
      <c r="C366" s="61"/>
      <c r="E366" s="19"/>
      <c r="F366" s="5"/>
      <c r="H366" s="19"/>
    </row>
    <row r="367">
      <c r="A367" s="44"/>
      <c r="C367" s="61"/>
      <c r="E367" s="19"/>
      <c r="F367" s="5"/>
      <c r="H367" s="19"/>
    </row>
    <row r="368">
      <c r="A368" s="44"/>
      <c r="C368" s="61"/>
      <c r="E368" s="19"/>
      <c r="F368" s="5"/>
      <c r="H368" s="19"/>
    </row>
    <row r="369">
      <c r="A369" s="44"/>
      <c r="C369" s="61"/>
      <c r="E369" s="19"/>
      <c r="F369" s="5"/>
      <c r="H369" s="19"/>
    </row>
    <row r="370">
      <c r="A370" s="44"/>
      <c r="C370" s="61"/>
      <c r="E370" s="19"/>
      <c r="F370" s="5"/>
      <c r="H370" s="19"/>
    </row>
    <row r="371">
      <c r="A371" s="44"/>
      <c r="C371" s="61"/>
      <c r="E371" s="19"/>
      <c r="F371" s="5"/>
      <c r="H371" s="19"/>
    </row>
    <row r="372">
      <c r="A372" s="44"/>
      <c r="C372" s="61"/>
      <c r="E372" s="19"/>
      <c r="F372" s="5"/>
      <c r="H372" s="19"/>
    </row>
    <row r="373">
      <c r="A373" s="44"/>
      <c r="C373" s="61"/>
      <c r="E373" s="19"/>
      <c r="F373" s="5"/>
      <c r="H373" s="19"/>
    </row>
    <row r="374">
      <c r="A374" s="44"/>
      <c r="C374" s="61"/>
      <c r="E374" s="19"/>
      <c r="F374" s="5"/>
      <c r="H374" s="19"/>
    </row>
    <row r="375">
      <c r="A375" s="44"/>
      <c r="C375" s="61"/>
      <c r="E375" s="19"/>
      <c r="F375" s="5"/>
      <c r="H375" s="19"/>
    </row>
    <row r="376">
      <c r="A376" s="44"/>
      <c r="C376" s="61"/>
      <c r="E376" s="19"/>
      <c r="F376" s="5"/>
      <c r="H376" s="19"/>
    </row>
    <row r="377">
      <c r="A377" s="44"/>
      <c r="C377" s="61"/>
      <c r="E377" s="19"/>
      <c r="F377" s="5"/>
      <c r="H377" s="19"/>
    </row>
    <row r="378">
      <c r="A378" s="44"/>
      <c r="C378" s="61"/>
      <c r="E378" s="19"/>
      <c r="F378" s="5"/>
      <c r="H378" s="19"/>
    </row>
    <row r="379">
      <c r="A379" s="44"/>
      <c r="C379" s="61"/>
      <c r="E379" s="19"/>
      <c r="F379" s="5"/>
      <c r="H379" s="19"/>
    </row>
    <row r="380">
      <c r="A380" s="44"/>
      <c r="C380" s="61"/>
      <c r="E380" s="19"/>
      <c r="F380" s="5"/>
      <c r="H380" s="19"/>
    </row>
    <row r="381">
      <c r="A381" s="44"/>
      <c r="C381" s="61"/>
      <c r="E381" s="19"/>
      <c r="F381" s="5"/>
      <c r="H381" s="19"/>
    </row>
    <row r="382">
      <c r="A382" s="44"/>
      <c r="C382" s="61"/>
      <c r="E382" s="19"/>
      <c r="F382" s="5"/>
      <c r="H382" s="19"/>
    </row>
    <row r="383">
      <c r="A383" s="44"/>
      <c r="C383" s="61"/>
      <c r="E383" s="19"/>
      <c r="F383" s="5"/>
      <c r="H383" s="19"/>
    </row>
    <row r="384">
      <c r="A384" s="44"/>
      <c r="C384" s="61"/>
      <c r="E384" s="19"/>
      <c r="F384" s="5"/>
      <c r="H384" s="19"/>
    </row>
    <row r="385">
      <c r="A385" s="44"/>
      <c r="C385" s="61"/>
      <c r="E385" s="19"/>
      <c r="F385" s="5"/>
      <c r="H385" s="19"/>
    </row>
    <row r="386">
      <c r="A386" s="44"/>
      <c r="C386" s="61"/>
      <c r="E386" s="19"/>
      <c r="F386" s="5"/>
      <c r="H386" s="19"/>
    </row>
    <row r="387">
      <c r="A387" s="44"/>
      <c r="C387" s="61"/>
      <c r="E387" s="19"/>
      <c r="F387" s="5"/>
      <c r="H387" s="19"/>
    </row>
    <row r="388">
      <c r="A388" s="44"/>
      <c r="C388" s="61"/>
      <c r="E388" s="19"/>
      <c r="F388" s="5"/>
      <c r="H388" s="19"/>
    </row>
    <row r="389">
      <c r="A389" s="44"/>
      <c r="C389" s="61"/>
      <c r="E389" s="19"/>
      <c r="F389" s="5"/>
      <c r="H389" s="19"/>
    </row>
    <row r="390">
      <c r="A390" s="44"/>
      <c r="C390" s="61"/>
      <c r="E390" s="19"/>
      <c r="F390" s="5"/>
      <c r="H390" s="19"/>
    </row>
    <row r="391">
      <c r="A391" s="44"/>
      <c r="C391" s="61"/>
      <c r="E391" s="19"/>
      <c r="F391" s="5"/>
      <c r="H391" s="19"/>
    </row>
    <row r="392">
      <c r="A392" s="44"/>
      <c r="C392" s="61"/>
      <c r="E392" s="19"/>
      <c r="F392" s="5"/>
      <c r="H392" s="19"/>
    </row>
    <row r="393">
      <c r="A393" s="44"/>
      <c r="C393" s="61"/>
      <c r="E393" s="19"/>
      <c r="F393" s="5"/>
      <c r="H393" s="19"/>
    </row>
    <row r="394">
      <c r="A394" s="44"/>
      <c r="C394" s="61"/>
      <c r="E394" s="19"/>
      <c r="F394" s="5"/>
      <c r="H394" s="19"/>
    </row>
    <row r="395">
      <c r="A395" s="44"/>
      <c r="C395" s="61"/>
      <c r="E395" s="19"/>
      <c r="F395" s="5"/>
      <c r="H395" s="19"/>
    </row>
    <row r="396">
      <c r="A396" s="44"/>
      <c r="C396" s="61"/>
      <c r="E396" s="19"/>
      <c r="F396" s="5"/>
      <c r="H396" s="19"/>
    </row>
    <row r="397">
      <c r="A397" s="44"/>
      <c r="C397" s="61"/>
      <c r="E397" s="19"/>
      <c r="F397" s="5"/>
      <c r="H397" s="19"/>
    </row>
    <row r="398">
      <c r="A398" s="44"/>
      <c r="C398" s="61"/>
      <c r="E398" s="19"/>
      <c r="F398" s="5"/>
      <c r="H398" s="19"/>
    </row>
    <row r="399">
      <c r="A399" s="44"/>
      <c r="C399" s="61"/>
      <c r="E399" s="19"/>
      <c r="F399" s="5"/>
      <c r="H399" s="19"/>
    </row>
    <row r="400">
      <c r="A400" s="44"/>
      <c r="C400" s="61"/>
      <c r="E400" s="19"/>
      <c r="F400" s="5"/>
      <c r="H400" s="19"/>
    </row>
    <row r="401">
      <c r="A401" s="44"/>
      <c r="C401" s="61"/>
      <c r="E401" s="19"/>
      <c r="F401" s="5"/>
      <c r="H401" s="19"/>
    </row>
    <row r="402">
      <c r="A402" s="44"/>
      <c r="C402" s="61"/>
      <c r="E402" s="19"/>
      <c r="F402" s="5"/>
      <c r="H402" s="19"/>
    </row>
    <row r="403">
      <c r="A403" s="44"/>
      <c r="C403" s="61"/>
      <c r="E403" s="19"/>
      <c r="F403" s="5"/>
      <c r="H403" s="19"/>
    </row>
    <row r="404">
      <c r="A404" s="44"/>
      <c r="C404" s="61"/>
      <c r="E404" s="19"/>
      <c r="F404" s="5"/>
      <c r="H404" s="19"/>
    </row>
    <row r="405">
      <c r="A405" s="44"/>
      <c r="C405" s="61"/>
      <c r="E405" s="19"/>
      <c r="F405" s="5"/>
      <c r="H405" s="19"/>
    </row>
    <row r="406">
      <c r="A406" s="44"/>
      <c r="C406" s="61"/>
      <c r="E406" s="19"/>
      <c r="F406" s="5"/>
      <c r="H406" s="19"/>
    </row>
    <row r="407">
      <c r="A407" s="44"/>
      <c r="C407" s="61"/>
      <c r="E407" s="19"/>
      <c r="F407" s="5"/>
      <c r="H407" s="19"/>
    </row>
    <row r="408">
      <c r="A408" s="44"/>
      <c r="C408" s="61"/>
      <c r="E408" s="19"/>
      <c r="F408" s="5"/>
      <c r="H408" s="19"/>
    </row>
    <row r="409">
      <c r="A409" s="44"/>
      <c r="C409" s="61"/>
      <c r="E409" s="19"/>
      <c r="F409" s="5"/>
      <c r="H409" s="19"/>
    </row>
    <row r="410">
      <c r="A410" s="44"/>
      <c r="C410" s="61"/>
      <c r="E410" s="19"/>
      <c r="F410" s="5"/>
      <c r="H410" s="19"/>
    </row>
    <row r="411">
      <c r="A411" s="44"/>
      <c r="C411" s="61"/>
      <c r="E411" s="19"/>
      <c r="F411" s="5"/>
      <c r="H411" s="19"/>
    </row>
    <row r="412">
      <c r="A412" s="44"/>
      <c r="C412" s="61"/>
      <c r="E412" s="19"/>
      <c r="F412" s="5"/>
      <c r="H412" s="19"/>
    </row>
    <row r="413">
      <c r="A413" s="44"/>
      <c r="C413" s="61"/>
      <c r="E413" s="19"/>
      <c r="F413" s="5"/>
      <c r="H413" s="19"/>
    </row>
    <row r="414">
      <c r="A414" s="44"/>
      <c r="C414" s="61"/>
      <c r="E414" s="19"/>
      <c r="F414" s="5"/>
      <c r="H414" s="19"/>
    </row>
    <row r="415">
      <c r="A415" s="44"/>
      <c r="C415" s="61"/>
      <c r="E415" s="19"/>
      <c r="F415" s="5"/>
      <c r="H415" s="19"/>
    </row>
    <row r="416">
      <c r="A416" s="44"/>
      <c r="C416" s="61"/>
      <c r="E416" s="19"/>
      <c r="F416" s="5"/>
      <c r="H416" s="19"/>
    </row>
    <row r="417">
      <c r="A417" s="44"/>
      <c r="C417" s="61"/>
      <c r="E417" s="19"/>
      <c r="F417" s="5"/>
      <c r="H417" s="19"/>
    </row>
    <row r="418">
      <c r="A418" s="44"/>
      <c r="C418" s="61"/>
      <c r="E418" s="19"/>
      <c r="F418" s="5"/>
      <c r="H418" s="19"/>
    </row>
    <row r="419">
      <c r="A419" s="44"/>
      <c r="C419" s="61"/>
      <c r="E419" s="19"/>
      <c r="F419" s="5"/>
      <c r="H419" s="19"/>
    </row>
    <row r="420">
      <c r="A420" s="44"/>
      <c r="C420" s="61"/>
      <c r="E420" s="19"/>
      <c r="F420" s="5"/>
      <c r="H420" s="19"/>
    </row>
    <row r="421">
      <c r="A421" s="44"/>
      <c r="C421" s="61"/>
      <c r="E421" s="19"/>
      <c r="F421" s="5"/>
      <c r="H421" s="19"/>
    </row>
    <row r="422">
      <c r="A422" s="44"/>
      <c r="C422" s="61"/>
      <c r="E422" s="19"/>
      <c r="F422" s="5"/>
      <c r="H422" s="19"/>
    </row>
    <row r="423">
      <c r="A423" s="44"/>
      <c r="C423" s="61"/>
      <c r="E423" s="19"/>
      <c r="F423" s="5"/>
      <c r="H423" s="19"/>
    </row>
    <row r="424">
      <c r="A424" s="44"/>
      <c r="C424" s="61"/>
      <c r="E424" s="19"/>
      <c r="F424" s="5"/>
      <c r="H424" s="19"/>
    </row>
    <row r="425">
      <c r="A425" s="44"/>
      <c r="C425" s="61"/>
      <c r="E425" s="19"/>
      <c r="F425" s="5"/>
      <c r="H425" s="19"/>
    </row>
    <row r="426">
      <c r="A426" s="44"/>
      <c r="C426" s="61"/>
      <c r="E426" s="19"/>
      <c r="F426" s="5"/>
      <c r="H426" s="19"/>
    </row>
    <row r="427">
      <c r="A427" s="44"/>
      <c r="C427" s="61"/>
      <c r="E427" s="19"/>
      <c r="F427" s="5"/>
      <c r="H427" s="19"/>
    </row>
    <row r="428">
      <c r="A428" s="44"/>
      <c r="C428" s="61"/>
      <c r="E428" s="19"/>
      <c r="F428" s="5"/>
      <c r="H428" s="19"/>
    </row>
    <row r="429">
      <c r="A429" s="44"/>
      <c r="C429" s="61"/>
      <c r="E429" s="19"/>
      <c r="F429" s="5"/>
      <c r="H429" s="19"/>
    </row>
    <row r="430">
      <c r="A430" s="44"/>
      <c r="C430" s="61"/>
      <c r="E430" s="19"/>
      <c r="F430" s="5"/>
      <c r="H430" s="19"/>
    </row>
    <row r="431">
      <c r="A431" s="44"/>
      <c r="C431" s="61"/>
      <c r="E431" s="19"/>
      <c r="F431" s="5"/>
      <c r="H431" s="19"/>
    </row>
    <row r="432">
      <c r="A432" s="44"/>
      <c r="C432" s="61"/>
      <c r="E432" s="19"/>
      <c r="F432" s="5"/>
      <c r="H432" s="19"/>
    </row>
    <row r="433">
      <c r="A433" s="44"/>
      <c r="C433" s="61"/>
      <c r="E433" s="19"/>
      <c r="F433" s="5"/>
      <c r="H433" s="19"/>
    </row>
    <row r="434">
      <c r="A434" s="44"/>
      <c r="C434" s="61"/>
      <c r="E434" s="19"/>
      <c r="F434" s="5"/>
      <c r="H434" s="19"/>
    </row>
    <row r="435">
      <c r="A435" s="44"/>
      <c r="C435" s="61"/>
      <c r="E435" s="19"/>
      <c r="F435" s="5"/>
      <c r="H435" s="19"/>
    </row>
    <row r="436">
      <c r="A436" s="44"/>
      <c r="C436" s="61"/>
      <c r="E436" s="19"/>
      <c r="F436" s="5"/>
      <c r="H436" s="19"/>
    </row>
    <row r="437">
      <c r="A437" s="44"/>
      <c r="C437" s="61"/>
      <c r="E437" s="19"/>
      <c r="F437" s="5"/>
      <c r="H437" s="19"/>
    </row>
    <row r="438">
      <c r="A438" s="44"/>
      <c r="C438" s="61"/>
      <c r="E438" s="19"/>
      <c r="F438" s="5"/>
      <c r="H438" s="19"/>
    </row>
    <row r="439">
      <c r="A439" s="44"/>
      <c r="C439" s="61"/>
      <c r="E439" s="19"/>
      <c r="F439" s="5"/>
      <c r="H439" s="19"/>
    </row>
    <row r="440">
      <c r="A440" s="44"/>
      <c r="C440" s="61"/>
      <c r="E440" s="19"/>
      <c r="F440" s="5"/>
      <c r="H440" s="19"/>
    </row>
    <row r="441">
      <c r="A441" s="44"/>
      <c r="C441" s="61"/>
      <c r="E441" s="19"/>
      <c r="F441" s="5"/>
      <c r="H441" s="19"/>
    </row>
    <row r="442">
      <c r="A442" s="44"/>
      <c r="C442" s="61"/>
      <c r="E442" s="19"/>
      <c r="F442" s="5"/>
      <c r="H442" s="19"/>
    </row>
    <row r="443">
      <c r="A443" s="44"/>
      <c r="C443" s="61"/>
      <c r="E443" s="19"/>
      <c r="F443" s="5"/>
      <c r="H443" s="19"/>
    </row>
    <row r="444">
      <c r="A444" s="44"/>
      <c r="C444" s="61"/>
      <c r="E444" s="19"/>
      <c r="F444" s="5"/>
      <c r="H444" s="19"/>
    </row>
    <row r="445">
      <c r="A445" s="44"/>
      <c r="C445" s="61"/>
      <c r="E445" s="19"/>
      <c r="F445" s="5"/>
      <c r="H445" s="19"/>
    </row>
    <row r="446">
      <c r="A446" s="44"/>
      <c r="C446" s="61"/>
      <c r="E446" s="19"/>
      <c r="F446" s="5"/>
      <c r="H446" s="19"/>
    </row>
    <row r="447">
      <c r="A447" s="44"/>
      <c r="C447" s="61"/>
      <c r="E447" s="19"/>
      <c r="F447" s="5"/>
      <c r="H447" s="19"/>
    </row>
    <row r="448">
      <c r="A448" s="44"/>
      <c r="C448" s="61"/>
      <c r="E448" s="19"/>
      <c r="F448" s="5"/>
      <c r="H448" s="19"/>
    </row>
    <row r="449">
      <c r="A449" s="44"/>
      <c r="C449" s="61"/>
      <c r="E449" s="19"/>
      <c r="F449" s="5"/>
      <c r="H449" s="19"/>
    </row>
    <row r="450">
      <c r="A450" s="44"/>
      <c r="C450" s="61"/>
      <c r="E450" s="19"/>
      <c r="F450" s="5"/>
      <c r="H450" s="19"/>
    </row>
    <row r="451">
      <c r="A451" s="44"/>
      <c r="C451" s="61"/>
      <c r="E451" s="19"/>
      <c r="F451" s="5"/>
      <c r="H451" s="19"/>
    </row>
    <row r="452">
      <c r="A452" s="44"/>
      <c r="C452" s="61"/>
      <c r="E452" s="19"/>
      <c r="F452" s="5"/>
      <c r="H452" s="19"/>
    </row>
    <row r="453">
      <c r="A453" s="44"/>
      <c r="C453" s="61"/>
      <c r="E453" s="19"/>
      <c r="F453" s="5"/>
      <c r="H453" s="19"/>
    </row>
    <row r="454">
      <c r="A454" s="44"/>
      <c r="C454" s="61"/>
      <c r="E454" s="19"/>
      <c r="F454" s="5"/>
      <c r="H454" s="19"/>
    </row>
    <row r="455">
      <c r="A455" s="44"/>
      <c r="C455" s="61"/>
      <c r="E455" s="19"/>
      <c r="F455" s="5"/>
      <c r="H455" s="19"/>
    </row>
    <row r="456">
      <c r="A456" s="44"/>
      <c r="C456" s="61"/>
      <c r="E456" s="19"/>
      <c r="F456" s="5"/>
      <c r="H456" s="19"/>
    </row>
    <row r="457">
      <c r="A457" s="44"/>
      <c r="C457" s="61"/>
      <c r="E457" s="19"/>
      <c r="F457" s="5"/>
      <c r="H457" s="19"/>
    </row>
    <row r="458">
      <c r="A458" s="44"/>
      <c r="C458" s="61"/>
      <c r="E458" s="19"/>
      <c r="F458" s="5"/>
      <c r="H458" s="19"/>
    </row>
    <row r="459">
      <c r="A459" s="44"/>
      <c r="C459" s="61"/>
      <c r="E459" s="19"/>
      <c r="F459" s="5"/>
      <c r="H459" s="19"/>
    </row>
    <row r="460">
      <c r="A460" s="44"/>
      <c r="C460" s="61"/>
      <c r="E460" s="19"/>
      <c r="F460" s="5"/>
      <c r="H460" s="19"/>
    </row>
    <row r="461">
      <c r="A461" s="44"/>
      <c r="C461" s="61"/>
      <c r="E461" s="19"/>
      <c r="F461" s="5"/>
      <c r="H461" s="19"/>
    </row>
    <row r="462">
      <c r="A462" s="44"/>
      <c r="C462" s="61"/>
      <c r="E462" s="19"/>
      <c r="F462" s="5"/>
      <c r="H462" s="19"/>
    </row>
    <row r="463">
      <c r="A463" s="44"/>
      <c r="C463" s="61"/>
      <c r="E463" s="19"/>
      <c r="F463" s="5"/>
      <c r="H463" s="19"/>
    </row>
    <row r="464">
      <c r="A464" s="44"/>
      <c r="C464" s="61"/>
      <c r="E464" s="19"/>
      <c r="F464" s="5"/>
      <c r="H464" s="19"/>
    </row>
    <row r="465">
      <c r="A465" s="44"/>
      <c r="C465" s="61"/>
      <c r="E465" s="19"/>
      <c r="F465" s="5"/>
      <c r="H465" s="19"/>
    </row>
    <row r="466">
      <c r="A466" s="44"/>
      <c r="C466" s="61"/>
      <c r="E466" s="19"/>
      <c r="F466" s="5"/>
      <c r="H466" s="19"/>
    </row>
    <row r="467">
      <c r="A467" s="44"/>
      <c r="C467" s="61"/>
      <c r="E467" s="19"/>
      <c r="F467" s="5"/>
      <c r="H467" s="19"/>
    </row>
    <row r="468">
      <c r="A468" s="44"/>
      <c r="C468" s="61"/>
      <c r="E468" s="19"/>
      <c r="F468" s="5"/>
      <c r="H468" s="19"/>
    </row>
    <row r="469">
      <c r="A469" s="44"/>
      <c r="C469" s="61"/>
      <c r="E469" s="19"/>
      <c r="F469" s="5"/>
      <c r="H469" s="19"/>
    </row>
    <row r="470">
      <c r="A470" s="44"/>
      <c r="C470" s="61"/>
      <c r="E470" s="19"/>
      <c r="F470" s="5"/>
      <c r="H470" s="19"/>
    </row>
    <row r="471">
      <c r="A471" s="44"/>
      <c r="C471" s="61"/>
      <c r="E471" s="19"/>
      <c r="F471" s="5"/>
      <c r="H471" s="19"/>
    </row>
    <row r="472">
      <c r="A472" s="44"/>
      <c r="C472" s="61"/>
      <c r="E472" s="19"/>
      <c r="F472" s="5"/>
      <c r="H472" s="19"/>
    </row>
    <row r="473">
      <c r="A473" s="44"/>
      <c r="C473" s="61"/>
      <c r="E473" s="19"/>
      <c r="F473" s="5"/>
      <c r="H473" s="19"/>
    </row>
    <row r="474">
      <c r="A474" s="44"/>
      <c r="C474" s="61"/>
      <c r="E474" s="19"/>
      <c r="F474" s="5"/>
      <c r="H474" s="19"/>
    </row>
    <row r="475">
      <c r="A475" s="44"/>
      <c r="C475" s="61"/>
      <c r="E475" s="19"/>
      <c r="F475" s="5"/>
      <c r="H475" s="19"/>
    </row>
    <row r="476">
      <c r="A476" s="44"/>
      <c r="C476" s="61"/>
      <c r="E476" s="19"/>
      <c r="F476" s="5"/>
      <c r="H476" s="19"/>
    </row>
    <row r="477">
      <c r="A477" s="44"/>
      <c r="C477" s="61"/>
      <c r="E477" s="19"/>
      <c r="F477" s="5"/>
      <c r="H477" s="19"/>
    </row>
    <row r="478">
      <c r="A478" s="44"/>
      <c r="C478" s="61"/>
      <c r="E478" s="19"/>
      <c r="F478" s="5"/>
      <c r="H478" s="19"/>
    </row>
    <row r="479">
      <c r="A479" s="44"/>
      <c r="C479" s="61"/>
      <c r="E479" s="19"/>
      <c r="F479" s="5"/>
      <c r="H479" s="19"/>
    </row>
    <row r="480">
      <c r="A480" s="44"/>
      <c r="C480" s="61"/>
      <c r="E480" s="19"/>
      <c r="F480" s="5"/>
      <c r="H480" s="19"/>
    </row>
    <row r="481">
      <c r="A481" s="44"/>
      <c r="C481" s="61"/>
      <c r="E481" s="19"/>
      <c r="F481" s="5"/>
      <c r="H481" s="19"/>
    </row>
    <row r="482">
      <c r="A482" s="44"/>
      <c r="C482" s="61"/>
      <c r="E482" s="19"/>
      <c r="F482" s="5"/>
      <c r="H482" s="19"/>
    </row>
    <row r="483">
      <c r="A483" s="44"/>
      <c r="C483" s="61"/>
      <c r="E483" s="19"/>
      <c r="F483" s="5"/>
      <c r="H483" s="19"/>
    </row>
    <row r="484">
      <c r="A484" s="44"/>
      <c r="C484" s="61"/>
      <c r="E484" s="19"/>
      <c r="F484" s="5"/>
      <c r="H484" s="19"/>
    </row>
    <row r="485">
      <c r="A485" s="44"/>
      <c r="C485" s="61"/>
      <c r="E485" s="19"/>
      <c r="F485" s="5"/>
      <c r="H485" s="19"/>
    </row>
    <row r="486">
      <c r="A486" s="44"/>
      <c r="C486" s="61"/>
      <c r="E486" s="19"/>
      <c r="F486" s="5"/>
      <c r="H486" s="19"/>
    </row>
    <row r="487">
      <c r="A487" s="44"/>
      <c r="C487" s="61"/>
      <c r="E487" s="19"/>
      <c r="F487" s="5"/>
      <c r="H487" s="19"/>
    </row>
    <row r="488">
      <c r="A488" s="44"/>
      <c r="C488" s="61"/>
      <c r="E488" s="19"/>
      <c r="F488" s="5"/>
      <c r="H488" s="19"/>
    </row>
    <row r="489">
      <c r="A489" s="44"/>
      <c r="C489" s="61"/>
      <c r="E489" s="19"/>
      <c r="F489" s="5"/>
      <c r="H489" s="19"/>
    </row>
    <row r="490">
      <c r="A490" s="44"/>
      <c r="C490" s="61"/>
      <c r="E490" s="19"/>
      <c r="F490" s="5"/>
      <c r="H490" s="19"/>
    </row>
    <row r="491">
      <c r="A491" s="44"/>
      <c r="C491" s="61"/>
      <c r="E491" s="19"/>
      <c r="F491" s="5"/>
      <c r="H491" s="19"/>
    </row>
    <row r="492">
      <c r="A492" s="44"/>
      <c r="C492" s="61"/>
      <c r="E492" s="19"/>
      <c r="F492" s="5"/>
      <c r="H492" s="19"/>
    </row>
    <row r="493">
      <c r="A493" s="44"/>
      <c r="C493" s="61"/>
      <c r="E493" s="19"/>
      <c r="F493" s="5"/>
      <c r="H493" s="19"/>
    </row>
    <row r="494">
      <c r="A494" s="44"/>
      <c r="C494" s="61"/>
      <c r="E494" s="19"/>
      <c r="F494" s="5"/>
      <c r="H494" s="19"/>
    </row>
    <row r="495">
      <c r="A495" s="44"/>
      <c r="C495" s="61"/>
      <c r="E495" s="19"/>
      <c r="F495" s="5"/>
      <c r="H495" s="19"/>
    </row>
    <row r="496">
      <c r="A496" s="44"/>
      <c r="C496" s="61"/>
      <c r="E496" s="19"/>
      <c r="F496" s="5"/>
      <c r="H496" s="19"/>
    </row>
    <row r="497">
      <c r="A497" s="44"/>
      <c r="C497" s="61"/>
      <c r="E497" s="19"/>
      <c r="F497" s="5"/>
      <c r="H497" s="19"/>
    </row>
    <row r="498">
      <c r="A498" s="44"/>
      <c r="C498" s="61"/>
      <c r="E498" s="19"/>
      <c r="F498" s="5"/>
      <c r="H498" s="19"/>
    </row>
    <row r="499">
      <c r="A499" s="44"/>
      <c r="C499" s="61"/>
      <c r="E499" s="19"/>
      <c r="F499" s="5"/>
      <c r="H499" s="19"/>
    </row>
    <row r="500">
      <c r="A500" s="44"/>
      <c r="C500" s="61"/>
      <c r="E500" s="19"/>
      <c r="F500" s="5"/>
      <c r="H500" s="19"/>
    </row>
    <row r="501">
      <c r="A501" s="44"/>
      <c r="C501" s="61"/>
      <c r="E501" s="19"/>
      <c r="F501" s="5"/>
      <c r="H501" s="19"/>
    </row>
    <row r="502">
      <c r="A502" s="44"/>
      <c r="C502" s="61"/>
      <c r="E502" s="19"/>
      <c r="F502" s="5"/>
      <c r="H502" s="19"/>
    </row>
    <row r="503">
      <c r="A503" s="44"/>
      <c r="C503" s="61"/>
      <c r="E503" s="19"/>
      <c r="F503" s="5"/>
      <c r="H503" s="19"/>
    </row>
    <row r="504">
      <c r="A504" s="44"/>
      <c r="C504" s="61"/>
      <c r="E504" s="19"/>
      <c r="F504" s="5"/>
      <c r="H504" s="19"/>
    </row>
    <row r="505">
      <c r="A505" s="44"/>
      <c r="C505" s="61"/>
      <c r="E505" s="19"/>
      <c r="F505" s="5"/>
      <c r="H505" s="19"/>
    </row>
    <row r="506">
      <c r="A506" s="44"/>
      <c r="C506" s="61"/>
      <c r="E506" s="19"/>
      <c r="F506" s="5"/>
      <c r="H506" s="19"/>
    </row>
    <row r="507">
      <c r="A507" s="44"/>
      <c r="C507" s="61"/>
      <c r="E507" s="19"/>
      <c r="F507" s="5"/>
      <c r="H507" s="19"/>
    </row>
    <row r="508">
      <c r="A508" s="44"/>
      <c r="C508" s="61"/>
      <c r="E508" s="19"/>
      <c r="F508" s="5"/>
      <c r="H508" s="19"/>
    </row>
    <row r="509">
      <c r="A509" s="44"/>
      <c r="C509" s="61"/>
      <c r="E509" s="19"/>
      <c r="F509" s="5"/>
      <c r="H509" s="19"/>
    </row>
    <row r="510">
      <c r="A510" s="44"/>
      <c r="C510" s="61"/>
      <c r="E510" s="19"/>
      <c r="F510" s="5"/>
      <c r="H510" s="19"/>
    </row>
    <row r="511">
      <c r="A511" s="44"/>
      <c r="C511" s="61"/>
      <c r="E511" s="19"/>
      <c r="F511" s="5"/>
      <c r="H511" s="19"/>
    </row>
    <row r="512">
      <c r="A512" s="44"/>
      <c r="C512" s="61"/>
      <c r="E512" s="19"/>
      <c r="F512" s="5"/>
      <c r="H512" s="19"/>
    </row>
    <row r="513">
      <c r="A513" s="44"/>
      <c r="C513" s="61"/>
      <c r="E513" s="19"/>
      <c r="F513" s="5"/>
      <c r="H513" s="19"/>
    </row>
    <row r="514">
      <c r="A514" s="44"/>
      <c r="C514" s="61"/>
      <c r="E514" s="19"/>
      <c r="F514" s="5"/>
      <c r="H514" s="19"/>
    </row>
    <row r="515">
      <c r="A515" s="44"/>
      <c r="C515" s="61"/>
      <c r="E515" s="19"/>
      <c r="F515" s="5"/>
      <c r="H515" s="19"/>
    </row>
    <row r="516">
      <c r="A516" s="44"/>
      <c r="C516" s="61"/>
      <c r="E516" s="19"/>
      <c r="F516" s="5"/>
      <c r="H516" s="19"/>
    </row>
    <row r="517">
      <c r="A517" s="44"/>
      <c r="C517" s="61"/>
      <c r="E517" s="19"/>
      <c r="F517" s="5"/>
      <c r="H517" s="19"/>
    </row>
    <row r="518">
      <c r="A518" s="44"/>
      <c r="C518" s="61"/>
      <c r="E518" s="19"/>
      <c r="F518" s="5"/>
      <c r="H518" s="19"/>
    </row>
    <row r="519">
      <c r="A519" s="44"/>
      <c r="C519" s="61"/>
      <c r="E519" s="19"/>
      <c r="F519" s="5"/>
      <c r="H519" s="19"/>
    </row>
    <row r="520">
      <c r="A520" s="44"/>
      <c r="C520" s="61"/>
      <c r="E520" s="19"/>
      <c r="F520" s="5"/>
      <c r="H520" s="19"/>
    </row>
    <row r="521">
      <c r="A521" s="44"/>
      <c r="C521" s="61"/>
      <c r="E521" s="19"/>
      <c r="F521" s="5"/>
      <c r="H521" s="19"/>
    </row>
    <row r="522">
      <c r="A522" s="44"/>
      <c r="C522" s="61"/>
      <c r="E522" s="19"/>
      <c r="F522" s="5"/>
      <c r="H522" s="19"/>
    </row>
    <row r="523">
      <c r="A523" s="44"/>
      <c r="C523" s="61"/>
      <c r="E523" s="19"/>
      <c r="F523" s="5"/>
      <c r="H523" s="19"/>
    </row>
    <row r="524">
      <c r="A524" s="44"/>
      <c r="C524" s="61"/>
      <c r="E524" s="19"/>
      <c r="F524" s="5"/>
      <c r="H524" s="19"/>
    </row>
    <row r="525">
      <c r="A525" s="44"/>
      <c r="C525" s="61"/>
      <c r="E525" s="19"/>
      <c r="F525" s="5"/>
      <c r="H525" s="19"/>
    </row>
    <row r="526">
      <c r="A526" s="44"/>
      <c r="C526" s="61"/>
      <c r="E526" s="19"/>
      <c r="F526" s="5"/>
      <c r="H526" s="19"/>
    </row>
    <row r="527">
      <c r="A527" s="44"/>
      <c r="C527" s="61"/>
      <c r="E527" s="19"/>
      <c r="F527" s="5"/>
      <c r="H527" s="19"/>
    </row>
    <row r="528">
      <c r="A528" s="44"/>
      <c r="C528" s="61"/>
      <c r="E528" s="19"/>
      <c r="F528" s="5"/>
      <c r="H528" s="19"/>
    </row>
    <row r="529">
      <c r="A529" s="44"/>
      <c r="C529" s="61"/>
      <c r="E529" s="19"/>
      <c r="F529" s="5"/>
      <c r="H529" s="19"/>
    </row>
    <row r="530">
      <c r="A530" s="44"/>
      <c r="C530" s="61"/>
      <c r="E530" s="19"/>
      <c r="F530" s="5"/>
      <c r="H530" s="19"/>
    </row>
    <row r="531">
      <c r="A531" s="44"/>
      <c r="C531" s="61"/>
      <c r="E531" s="19"/>
      <c r="F531" s="5"/>
      <c r="H531" s="19"/>
    </row>
    <row r="532">
      <c r="A532" s="44"/>
      <c r="C532" s="61"/>
      <c r="E532" s="19"/>
      <c r="F532" s="5"/>
      <c r="H532" s="19"/>
    </row>
    <row r="533">
      <c r="A533" s="44"/>
      <c r="C533" s="61"/>
      <c r="E533" s="19"/>
      <c r="F533" s="5"/>
      <c r="H533" s="19"/>
    </row>
    <row r="534">
      <c r="A534" s="44"/>
      <c r="C534" s="61"/>
      <c r="E534" s="19"/>
      <c r="F534" s="5"/>
      <c r="H534" s="19"/>
    </row>
    <row r="535">
      <c r="A535" s="44"/>
      <c r="C535" s="61"/>
      <c r="E535" s="19"/>
      <c r="F535" s="5"/>
      <c r="H535" s="19"/>
    </row>
    <row r="536">
      <c r="A536" s="44"/>
      <c r="C536" s="61"/>
      <c r="E536" s="19"/>
      <c r="F536" s="5"/>
      <c r="H536" s="19"/>
    </row>
    <row r="537">
      <c r="A537" s="44"/>
      <c r="C537" s="61"/>
      <c r="E537" s="19"/>
      <c r="F537" s="5"/>
      <c r="H537" s="19"/>
    </row>
    <row r="538">
      <c r="A538" s="44"/>
      <c r="C538" s="61"/>
      <c r="E538" s="19"/>
      <c r="F538" s="5"/>
      <c r="H538" s="19"/>
    </row>
    <row r="539">
      <c r="A539" s="44"/>
      <c r="C539" s="61"/>
      <c r="E539" s="19"/>
      <c r="F539" s="5"/>
      <c r="H539" s="19"/>
    </row>
    <row r="540">
      <c r="A540" s="44"/>
      <c r="C540" s="61"/>
      <c r="E540" s="19"/>
      <c r="F540" s="5"/>
      <c r="H540" s="19"/>
    </row>
    <row r="541">
      <c r="A541" s="44"/>
      <c r="C541" s="61"/>
      <c r="E541" s="19"/>
      <c r="F541" s="5"/>
      <c r="H541" s="19"/>
    </row>
    <row r="542">
      <c r="A542" s="44"/>
      <c r="C542" s="61"/>
      <c r="E542" s="19"/>
      <c r="F542" s="5"/>
      <c r="H542" s="19"/>
    </row>
    <row r="543">
      <c r="A543" s="44"/>
      <c r="C543" s="61"/>
      <c r="E543" s="19"/>
      <c r="F543" s="5"/>
      <c r="H543" s="19"/>
    </row>
    <row r="544">
      <c r="A544" s="44"/>
      <c r="C544" s="61"/>
      <c r="E544" s="19"/>
      <c r="F544" s="5"/>
      <c r="H544" s="19"/>
    </row>
    <row r="545">
      <c r="A545" s="44"/>
      <c r="C545" s="61"/>
      <c r="E545" s="19"/>
      <c r="F545" s="5"/>
      <c r="H545" s="19"/>
    </row>
    <row r="546">
      <c r="A546" s="44"/>
      <c r="C546" s="61"/>
      <c r="E546" s="19"/>
      <c r="F546" s="5"/>
      <c r="H546" s="19"/>
    </row>
    <row r="547">
      <c r="A547" s="44"/>
      <c r="C547" s="61"/>
      <c r="E547" s="19"/>
      <c r="F547" s="5"/>
      <c r="H547" s="19"/>
    </row>
    <row r="548">
      <c r="A548" s="44"/>
      <c r="C548" s="61"/>
      <c r="E548" s="19"/>
      <c r="F548" s="5"/>
      <c r="H548" s="19"/>
    </row>
    <row r="549">
      <c r="A549" s="44"/>
      <c r="C549" s="61"/>
      <c r="E549" s="19"/>
      <c r="F549" s="5"/>
      <c r="H549" s="19"/>
    </row>
    <row r="550">
      <c r="A550" s="44"/>
      <c r="C550" s="61"/>
      <c r="E550" s="19"/>
      <c r="F550" s="5"/>
      <c r="H550" s="19"/>
    </row>
    <row r="551">
      <c r="A551" s="44"/>
      <c r="C551" s="61"/>
      <c r="E551" s="19"/>
      <c r="F551" s="5"/>
      <c r="H551" s="19"/>
    </row>
    <row r="552">
      <c r="A552" s="44"/>
      <c r="C552" s="61"/>
      <c r="E552" s="19"/>
      <c r="F552" s="5"/>
      <c r="H552" s="19"/>
    </row>
    <row r="553">
      <c r="A553" s="44"/>
      <c r="C553" s="61"/>
      <c r="E553" s="19"/>
      <c r="F553" s="5"/>
      <c r="H553" s="19"/>
    </row>
    <row r="554">
      <c r="A554" s="44"/>
      <c r="C554" s="61"/>
      <c r="E554" s="19"/>
      <c r="F554" s="5"/>
      <c r="H554" s="19"/>
    </row>
    <row r="555">
      <c r="A555" s="44"/>
      <c r="C555" s="61"/>
      <c r="E555" s="19"/>
      <c r="F555" s="5"/>
      <c r="H555" s="19"/>
    </row>
    <row r="556">
      <c r="A556" s="44"/>
      <c r="C556" s="61"/>
      <c r="E556" s="19"/>
      <c r="F556" s="5"/>
      <c r="H556" s="19"/>
    </row>
    <row r="557">
      <c r="A557" s="44"/>
      <c r="C557" s="61"/>
      <c r="E557" s="19"/>
      <c r="F557" s="5"/>
      <c r="H557" s="19"/>
    </row>
    <row r="558">
      <c r="A558" s="44"/>
      <c r="C558" s="61"/>
      <c r="E558" s="19"/>
      <c r="F558" s="5"/>
      <c r="H558" s="19"/>
    </row>
    <row r="559">
      <c r="A559" s="44"/>
      <c r="C559" s="61"/>
      <c r="E559" s="19"/>
      <c r="F559" s="5"/>
      <c r="H559" s="19"/>
    </row>
    <row r="560">
      <c r="A560" s="44"/>
      <c r="C560" s="61"/>
      <c r="E560" s="19"/>
      <c r="F560" s="5"/>
      <c r="H560" s="19"/>
    </row>
    <row r="561">
      <c r="A561" s="44"/>
      <c r="C561" s="61"/>
      <c r="E561" s="19"/>
      <c r="F561" s="5"/>
      <c r="H561" s="19"/>
    </row>
    <row r="562">
      <c r="A562" s="44"/>
      <c r="C562" s="61"/>
      <c r="E562" s="19"/>
      <c r="F562" s="5"/>
      <c r="H562" s="19"/>
    </row>
    <row r="563">
      <c r="A563" s="44"/>
      <c r="C563" s="61"/>
      <c r="E563" s="19"/>
      <c r="F563" s="5"/>
      <c r="H563" s="19"/>
    </row>
    <row r="564">
      <c r="A564" s="44"/>
      <c r="C564" s="61"/>
      <c r="E564" s="19"/>
      <c r="F564" s="5"/>
      <c r="H564" s="19"/>
    </row>
    <row r="565">
      <c r="A565" s="44"/>
      <c r="C565" s="61"/>
      <c r="E565" s="19"/>
      <c r="F565" s="5"/>
      <c r="H565" s="19"/>
    </row>
    <row r="566">
      <c r="A566" s="44"/>
      <c r="C566" s="61"/>
      <c r="E566" s="19"/>
      <c r="F566" s="5"/>
      <c r="H566" s="19"/>
    </row>
    <row r="567">
      <c r="A567" s="44"/>
      <c r="C567" s="61"/>
      <c r="E567" s="19"/>
      <c r="F567" s="5"/>
      <c r="H567" s="19"/>
    </row>
    <row r="568">
      <c r="A568" s="44"/>
      <c r="C568" s="61"/>
      <c r="E568" s="19"/>
      <c r="F568" s="5"/>
      <c r="H568" s="19"/>
    </row>
    <row r="569">
      <c r="A569" s="44"/>
      <c r="C569" s="61"/>
      <c r="E569" s="19"/>
      <c r="F569" s="5"/>
      <c r="H569" s="19"/>
    </row>
    <row r="570">
      <c r="A570" s="44"/>
      <c r="C570" s="61"/>
      <c r="E570" s="19"/>
      <c r="F570" s="5"/>
      <c r="H570" s="19"/>
    </row>
    <row r="571">
      <c r="A571" s="44"/>
      <c r="C571" s="61"/>
      <c r="E571" s="19"/>
      <c r="F571" s="5"/>
      <c r="H571" s="19"/>
    </row>
    <row r="572">
      <c r="A572" s="44"/>
      <c r="C572" s="61"/>
      <c r="E572" s="19"/>
      <c r="F572" s="5"/>
      <c r="H572" s="19"/>
    </row>
    <row r="573">
      <c r="A573" s="44"/>
      <c r="C573" s="61"/>
      <c r="E573" s="19"/>
      <c r="F573" s="5"/>
      <c r="H573" s="19"/>
    </row>
    <row r="574">
      <c r="A574" s="44"/>
      <c r="C574" s="61"/>
      <c r="E574" s="19"/>
      <c r="F574" s="5"/>
      <c r="H574" s="19"/>
    </row>
    <row r="575">
      <c r="A575" s="44"/>
      <c r="C575" s="61"/>
      <c r="E575" s="19"/>
      <c r="F575" s="5"/>
      <c r="H575" s="19"/>
    </row>
    <row r="576">
      <c r="A576" s="44"/>
      <c r="C576" s="61"/>
      <c r="E576" s="19"/>
      <c r="F576" s="5"/>
      <c r="H576" s="19"/>
    </row>
    <row r="577">
      <c r="A577" s="44"/>
      <c r="C577" s="61"/>
      <c r="E577" s="19"/>
      <c r="F577" s="5"/>
      <c r="H577" s="19"/>
    </row>
    <row r="578">
      <c r="A578" s="44"/>
      <c r="C578" s="61"/>
      <c r="E578" s="19"/>
      <c r="F578" s="5"/>
      <c r="H578" s="19"/>
    </row>
    <row r="579">
      <c r="A579" s="44"/>
      <c r="C579" s="61"/>
      <c r="E579" s="19"/>
      <c r="F579" s="5"/>
      <c r="H579" s="19"/>
    </row>
    <row r="580">
      <c r="A580" s="44"/>
      <c r="C580" s="61"/>
      <c r="E580" s="19"/>
      <c r="F580" s="5"/>
      <c r="H580" s="19"/>
    </row>
    <row r="581">
      <c r="A581" s="44"/>
      <c r="C581" s="61"/>
      <c r="E581" s="19"/>
      <c r="F581" s="5"/>
      <c r="H581" s="19"/>
    </row>
    <row r="582">
      <c r="A582" s="44"/>
      <c r="C582" s="61"/>
      <c r="E582" s="19"/>
      <c r="F582" s="5"/>
      <c r="H582" s="19"/>
    </row>
    <row r="583">
      <c r="A583" s="44"/>
      <c r="C583" s="61"/>
      <c r="E583" s="19"/>
      <c r="F583" s="5"/>
      <c r="H583" s="19"/>
    </row>
    <row r="584">
      <c r="A584" s="44"/>
      <c r="C584" s="61"/>
      <c r="E584" s="19"/>
      <c r="F584" s="5"/>
      <c r="H584" s="19"/>
    </row>
    <row r="585">
      <c r="A585" s="44"/>
      <c r="C585" s="61"/>
      <c r="E585" s="19"/>
      <c r="F585" s="5"/>
      <c r="H585" s="19"/>
    </row>
    <row r="586">
      <c r="A586" s="44"/>
      <c r="C586" s="61"/>
      <c r="E586" s="19"/>
      <c r="F586" s="5"/>
      <c r="H586" s="19"/>
    </row>
    <row r="587">
      <c r="A587" s="44"/>
      <c r="C587" s="61"/>
      <c r="E587" s="19"/>
      <c r="F587" s="5"/>
      <c r="H587" s="19"/>
    </row>
    <row r="588">
      <c r="A588" s="44"/>
      <c r="C588" s="61"/>
      <c r="E588" s="19"/>
      <c r="F588" s="5"/>
      <c r="H588" s="19"/>
    </row>
    <row r="589">
      <c r="A589" s="44"/>
      <c r="C589" s="61"/>
      <c r="E589" s="19"/>
      <c r="F589" s="5"/>
      <c r="H589" s="19"/>
    </row>
    <row r="590">
      <c r="A590" s="44"/>
      <c r="C590" s="61"/>
      <c r="E590" s="19"/>
      <c r="F590" s="5"/>
      <c r="H590" s="19"/>
    </row>
    <row r="591">
      <c r="A591" s="44"/>
      <c r="C591" s="61"/>
      <c r="E591" s="19"/>
      <c r="F591" s="5"/>
      <c r="H591" s="19"/>
    </row>
    <row r="592">
      <c r="A592" s="44"/>
      <c r="C592" s="61"/>
      <c r="E592" s="19"/>
      <c r="F592" s="5"/>
      <c r="H592" s="19"/>
    </row>
    <row r="593">
      <c r="A593" s="44"/>
      <c r="C593" s="61"/>
      <c r="E593" s="19"/>
      <c r="F593" s="5"/>
      <c r="H593" s="19"/>
    </row>
    <row r="594">
      <c r="A594" s="44"/>
      <c r="C594" s="61"/>
      <c r="E594" s="19"/>
      <c r="F594" s="5"/>
      <c r="H594" s="19"/>
    </row>
    <row r="595">
      <c r="A595" s="44"/>
      <c r="C595" s="61"/>
      <c r="E595" s="19"/>
      <c r="F595" s="5"/>
      <c r="H595" s="19"/>
    </row>
    <row r="596">
      <c r="A596" s="44"/>
      <c r="C596" s="61"/>
      <c r="E596" s="19"/>
      <c r="F596" s="5"/>
      <c r="H596" s="19"/>
    </row>
    <row r="597">
      <c r="A597" s="44"/>
      <c r="C597" s="61"/>
      <c r="E597" s="19"/>
      <c r="F597" s="5"/>
      <c r="H597" s="19"/>
    </row>
    <row r="598">
      <c r="A598" s="44"/>
      <c r="C598" s="61"/>
      <c r="E598" s="19"/>
      <c r="F598" s="5"/>
      <c r="H598" s="19"/>
    </row>
    <row r="599">
      <c r="A599" s="44"/>
      <c r="C599" s="61"/>
      <c r="E599" s="19"/>
      <c r="F599" s="5"/>
      <c r="H599" s="19"/>
    </row>
    <row r="600">
      <c r="A600" s="44"/>
      <c r="C600" s="61"/>
      <c r="E600" s="19"/>
      <c r="F600" s="5"/>
      <c r="H600" s="19"/>
    </row>
    <row r="601">
      <c r="A601" s="44"/>
      <c r="C601" s="61"/>
      <c r="E601" s="19"/>
      <c r="F601" s="5"/>
      <c r="H601" s="19"/>
    </row>
    <row r="602">
      <c r="A602" s="44"/>
      <c r="C602" s="61"/>
      <c r="E602" s="19"/>
      <c r="F602" s="5"/>
      <c r="H602" s="19"/>
    </row>
    <row r="603">
      <c r="A603" s="44"/>
      <c r="C603" s="61"/>
      <c r="E603" s="19"/>
      <c r="F603" s="5"/>
      <c r="H603" s="19"/>
    </row>
    <row r="604">
      <c r="A604" s="44"/>
      <c r="C604" s="61"/>
      <c r="E604" s="19"/>
      <c r="F604" s="5"/>
      <c r="H604" s="19"/>
    </row>
    <row r="605">
      <c r="A605" s="44"/>
      <c r="C605" s="61"/>
      <c r="E605" s="19"/>
      <c r="F605" s="5"/>
      <c r="H605" s="19"/>
    </row>
    <row r="606">
      <c r="A606" s="44"/>
      <c r="C606" s="61"/>
      <c r="E606" s="19"/>
      <c r="F606" s="5"/>
      <c r="H606" s="19"/>
    </row>
    <row r="607">
      <c r="A607" s="44"/>
      <c r="C607" s="61"/>
      <c r="E607" s="19"/>
      <c r="F607" s="5"/>
      <c r="H607" s="19"/>
    </row>
    <row r="608">
      <c r="A608" s="44"/>
      <c r="C608" s="61"/>
      <c r="E608" s="19"/>
      <c r="F608" s="5"/>
      <c r="H608" s="19"/>
    </row>
    <row r="609">
      <c r="A609" s="44"/>
      <c r="C609" s="61"/>
      <c r="E609" s="19"/>
      <c r="F609" s="5"/>
      <c r="H609" s="19"/>
    </row>
    <row r="610">
      <c r="A610" s="44"/>
      <c r="C610" s="61"/>
      <c r="E610" s="19"/>
      <c r="F610" s="5"/>
      <c r="H610" s="19"/>
    </row>
    <row r="611">
      <c r="A611" s="44"/>
      <c r="C611" s="61"/>
      <c r="E611" s="19"/>
      <c r="F611" s="5"/>
      <c r="H611" s="19"/>
    </row>
    <row r="612">
      <c r="A612" s="44"/>
      <c r="C612" s="61"/>
      <c r="E612" s="19"/>
      <c r="F612" s="5"/>
      <c r="H612" s="19"/>
    </row>
    <row r="613">
      <c r="A613" s="44"/>
      <c r="C613" s="61"/>
      <c r="E613" s="19"/>
      <c r="F613" s="5"/>
      <c r="H613" s="19"/>
    </row>
    <row r="614">
      <c r="A614" s="44"/>
      <c r="C614" s="61"/>
      <c r="E614" s="19"/>
      <c r="F614" s="5"/>
      <c r="H614" s="19"/>
    </row>
    <row r="615">
      <c r="A615" s="44"/>
      <c r="C615" s="61"/>
      <c r="E615" s="19"/>
      <c r="F615" s="5"/>
      <c r="H615" s="19"/>
    </row>
    <row r="616">
      <c r="A616" s="44"/>
      <c r="C616" s="61"/>
      <c r="E616" s="19"/>
      <c r="F616" s="5"/>
      <c r="H616" s="19"/>
    </row>
    <row r="617">
      <c r="A617" s="44"/>
      <c r="C617" s="61"/>
      <c r="E617" s="19"/>
      <c r="F617" s="5"/>
      <c r="H617" s="19"/>
    </row>
    <row r="618">
      <c r="A618" s="44"/>
      <c r="C618" s="61"/>
      <c r="E618" s="19"/>
      <c r="F618" s="5"/>
      <c r="H618" s="19"/>
    </row>
    <row r="619">
      <c r="A619" s="44"/>
      <c r="C619" s="61"/>
      <c r="E619" s="19"/>
      <c r="F619" s="5"/>
      <c r="H619" s="19"/>
    </row>
    <row r="620">
      <c r="A620" s="44"/>
      <c r="C620" s="61"/>
      <c r="E620" s="19"/>
      <c r="F620" s="5"/>
      <c r="H620" s="19"/>
    </row>
    <row r="621">
      <c r="A621" s="44"/>
      <c r="C621" s="61"/>
      <c r="E621" s="19"/>
      <c r="F621" s="5"/>
      <c r="H621" s="19"/>
    </row>
    <row r="622">
      <c r="A622" s="44"/>
      <c r="C622" s="61"/>
      <c r="E622" s="19"/>
      <c r="F622" s="5"/>
      <c r="H622" s="19"/>
    </row>
    <row r="623">
      <c r="A623" s="44"/>
      <c r="C623" s="61"/>
      <c r="E623" s="19"/>
      <c r="F623" s="5"/>
      <c r="H623" s="19"/>
    </row>
    <row r="624">
      <c r="A624" s="44"/>
      <c r="C624" s="61"/>
      <c r="E624" s="19"/>
      <c r="F624" s="5"/>
      <c r="H624" s="19"/>
    </row>
    <row r="625">
      <c r="A625" s="44"/>
      <c r="C625" s="61"/>
      <c r="E625" s="19"/>
      <c r="F625" s="5"/>
      <c r="H625" s="19"/>
    </row>
    <row r="626">
      <c r="A626" s="44"/>
      <c r="C626" s="61"/>
      <c r="E626" s="19"/>
      <c r="F626" s="5"/>
      <c r="H626" s="19"/>
    </row>
    <row r="627">
      <c r="A627" s="44"/>
      <c r="C627" s="61"/>
      <c r="E627" s="19"/>
      <c r="F627" s="5"/>
      <c r="H627" s="19"/>
    </row>
    <row r="628">
      <c r="A628" s="44"/>
      <c r="C628" s="61"/>
      <c r="E628" s="19"/>
      <c r="F628" s="5"/>
      <c r="H628" s="19"/>
    </row>
    <row r="629">
      <c r="A629" s="44"/>
      <c r="C629" s="61"/>
      <c r="E629" s="19"/>
      <c r="F629" s="5"/>
      <c r="H629" s="19"/>
    </row>
    <row r="630">
      <c r="A630" s="44"/>
      <c r="C630" s="61"/>
      <c r="E630" s="19"/>
      <c r="F630" s="5"/>
      <c r="H630" s="19"/>
    </row>
    <row r="631">
      <c r="A631" s="44"/>
      <c r="C631" s="61"/>
      <c r="E631" s="19"/>
      <c r="F631" s="5"/>
      <c r="H631" s="19"/>
    </row>
    <row r="632">
      <c r="A632" s="44"/>
      <c r="C632" s="61"/>
      <c r="E632" s="19"/>
      <c r="F632" s="5"/>
      <c r="H632" s="19"/>
    </row>
    <row r="633">
      <c r="A633" s="44"/>
      <c r="C633" s="61"/>
      <c r="E633" s="19"/>
      <c r="F633" s="5"/>
      <c r="H633" s="19"/>
    </row>
    <row r="634">
      <c r="A634" s="44"/>
      <c r="C634" s="61"/>
      <c r="E634" s="19"/>
      <c r="F634" s="5"/>
      <c r="H634" s="19"/>
    </row>
    <row r="635">
      <c r="A635" s="44"/>
      <c r="C635" s="61"/>
      <c r="E635" s="19"/>
      <c r="F635" s="5"/>
      <c r="H635" s="19"/>
    </row>
    <row r="636">
      <c r="A636" s="44"/>
      <c r="C636" s="61"/>
      <c r="E636" s="19"/>
      <c r="F636" s="5"/>
      <c r="H636" s="19"/>
    </row>
    <row r="637">
      <c r="A637" s="44"/>
      <c r="C637" s="61"/>
      <c r="E637" s="19"/>
      <c r="F637" s="5"/>
      <c r="H637" s="19"/>
    </row>
    <row r="638">
      <c r="A638" s="44"/>
      <c r="C638" s="61"/>
      <c r="E638" s="19"/>
      <c r="F638" s="5"/>
      <c r="H638" s="19"/>
    </row>
    <row r="639">
      <c r="A639" s="44"/>
      <c r="C639" s="61"/>
      <c r="E639" s="19"/>
      <c r="F639" s="5"/>
      <c r="H639" s="19"/>
    </row>
    <row r="640">
      <c r="A640" s="44"/>
      <c r="C640" s="61"/>
      <c r="E640" s="19"/>
      <c r="F640" s="5"/>
      <c r="H640" s="19"/>
    </row>
    <row r="641">
      <c r="A641" s="44"/>
      <c r="C641" s="61"/>
      <c r="E641" s="19"/>
      <c r="F641" s="5"/>
      <c r="H641" s="19"/>
    </row>
    <row r="642">
      <c r="A642" s="44"/>
      <c r="C642" s="61"/>
      <c r="E642" s="19"/>
      <c r="F642" s="5"/>
      <c r="H642" s="19"/>
    </row>
    <row r="643">
      <c r="A643" s="44"/>
      <c r="C643" s="61"/>
      <c r="E643" s="19"/>
      <c r="F643" s="5"/>
      <c r="H643" s="19"/>
    </row>
    <row r="644">
      <c r="A644" s="44"/>
      <c r="C644" s="61"/>
      <c r="E644" s="19"/>
      <c r="F644" s="5"/>
      <c r="H644" s="19"/>
    </row>
    <row r="645">
      <c r="A645" s="44"/>
      <c r="C645" s="61"/>
      <c r="E645" s="19"/>
      <c r="F645" s="5"/>
      <c r="H645" s="19"/>
    </row>
    <row r="646">
      <c r="A646" s="44"/>
      <c r="C646" s="61"/>
      <c r="E646" s="19"/>
      <c r="F646" s="5"/>
      <c r="H646" s="19"/>
    </row>
    <row r="647">
      <c r="A647" s="44"/>
      <c r="C647" s="61"/>
      <c r="E647" s="19"/>
      <c r="F647" s="5"/>
      <c r="H647" s="19"/>
    </row>
    <row r="648">
      <c r="A648" s="44"/>
      <c r="C648" s="61"/>
      <c r="E648" s="19"/>
      <c r="F648" s="5"/>
      <c r="H648" s="19"/>
    </row>
    <row r="649">
      <c r="A649" s="44"/>
      <c r="C649" s="61"/>
      <c r="E649" s="19"/>
      <c r="F649" s="5"/>
      <c r="H649" s="19"/>
    </row>
    <row r="650">
      <c r="A650" s="44"/>
      <c r="C650" s="61"/>
      <c r="E650" s="19"/>
      <c r="F650" s="5"/>
      <c r="H650" s="19"/>
    </row>
    <row r="651">
      <c r="A651" s="44"/>
      <c r="C651" s="61"/>
      <c r="E651" s="19"/>
      <c r="F651" s="5"/>
      <c r="H651" s="19"/>
    </row>
    <row r="652">
      <c r="A652" s="44"/>
      <c r="C652" s="61"/>
      <c r="E652" s="19"/>
      <c r="F652" s="5"/>
      <c r="H652" s="19"/>
    </row>
    <row r="653">
      <c r="A653" s="44"/>
      <c r="C653" s="61"/>
      <c r="E653" s="19"/>
      <c r="F653" s="5"/>
      <c r="H653" s="19"/>
    </row>
    <row r="654">
      <c r="A654" s="44"/>
      <c r="C654" s="61"/>
      <c r="E654" s="19"/>
      <c r="F654" s="5"/>
      <c r="H654" s="19"/>
    </row>
    <row r="655">
      <c r="A655" s="44"/>
      <c r="C655" s="61"/>
      <c r="E655" s="19"/>
      <c r="F655" s="5"/>
      <c r="H655" s="19"/>
    </row>
    <row r="656">
      <c r="A656" s="44"/>
      <c r="C656" s="61"/>
      <c r="E656" s="19"/>
      <c r="F656" s="5"/>
      <c r="H656" s="19"/>
    </row>
    <row r="657">
      <c r="A657" s="44"/>
      <c r="C657" s="61"/>
      <c r="E657" s="19"/>
      <c r="F657" s="5"/>
      <c r="H657" s="19"/>
    </row>
    <row r="658">
      <c r="A658" s="44"/>
      <c r="C658" s="61"/>
      <c r="E658" s="19"/>
      <c r="F658" s="5"/>
      <c r="H658" s="19"/>
    </row>
    <row r="659">
      <c r="A659" s="44"/>
      <c r="C659" s="61"/>
      <c r="E659" s="19"/>
      <c r="F659" s="5"/>
      <c r="H659" s="19"/>
    </row>
    <row r="660">
      <c r="A660" s="44"/>
      <c r="C660" s="61"/>
      <c r="E660" s="19"/>
      <c r="F660" s="5"/>
      <c r="H660" s="19"/>
    </row>
    <row r="661">
      <c r="A661" s="44"/>
      <c r="C661" s="61"/>
      <c r="E661" s="19"/>
      <c r="F661" s="5"/>
      <c r="H661" s="19"/>
    </row>
    <row r="662">
      <c r="A662" s="44"/>
      <c r="C662" s="61"/>
      <c r="E662" s="19"/>
      <c r="F662" s="5"/>
      <c r="H662" s="19"/>
    </row>
    <row r="663">
      <c r="A663" s="44"/>
      <c r="C663" s="61"/>
      <c r="E663" s="19"/>
      <c r="F663" s="5"/>
      <c r="H663" s="19"/>
    </row>
    <row r="664">
      <c r="A664" s="44"/>
      <c r="C664" s="61"/>
      <c r="E664" s="19"/>
      <c r="F664" s="5"/>
      <c r="H664" s="19"/>
    </row>
    <row r="665">
      <c r="A665" s="44"/>
      <c r="C665" s="61"/>
      <c r="E665" s="19"/>
      <c r="F665" s="5"/>
      <c r="H665" s="19"/>
    </row>
    <row r="666">
      <c r="A666" s="44"/>
      <c r="C666" s="61"/>
      <c r="E666" s="19"/>
      <c r="F666" s="5"/>
      <c r="H666" s="19"/>
    </row>
    <row r="667">
      <c r="A667" s="44"/>
      <c r="C667" s="61"/>
      <c r="E667" s="19"/>
      <c r="F667" s="5"/>
      <c r="H667" s="19"/>
    </row>
    <row r="668">
      <c r="A668" s="44"/>
      <c r="C668" s="61"/>
      <c r="E668" s="19"/>
      <c r="F668" s="5"/>
      <c r="H668" s="19"/>
    </row>
    <row r="669">
      <c r="A669" s="44"/>
      <c r="C669" s="61"/>
      <c r="E669" s="19"/>
      <c r="F669" s="5"/>
      <c r="H669" s="19"/>
    </row>
    <row r="670">
      <c r="A670" s="44"/>
      <c r="C670" s="61"/>
      <c r="E670" s="19"/>
      <c r="F670" s="5"/>
      <c r="H670" s="19"/>
    </row>
    <row r="671">
      <c r="A671" s="44"/>
      <c r="C671" s="61"/>
      <c r="E671" s="19"/>
      <c r="F671" s="5"/>
      <c r="H671" s="19"/>
    </row>
    <row r="672">
      <c r="A672" s="44"/>
      <c r="C672" s="61"/>
      <c r="E672" s="19"/>
      <c r="F672" s="5"/>
      <c r="H672" s="19"/>
    </row>
    <row r="673">
      <c r="A673" s="44"/>
      <c r="C673" s="61"/>
      <c r="E673" s="19"/>
      <c r="F673" s="5"/>
      <c r="H673" s="19"/>
    </row>
    <row r="674">
      <c r="A674" s="44"/>
      <c r="C674" s="61"/>
      <c r="E674" s="19"/>
      <c r="F674" s="5"/>
      <c r="H674" s="19"/>
    </row>
    <row r="675">
      <c r="A675" s="44"/>
      <c r="C675" s="61"/>
      <c r="E675" s="19"/>
      <c r="F675" s="5"/>
      <c r="H675" s="19"/>
    </row>
    <row r="676">
      <c r="A676" s="44"/>
      <c r="C676" s="61"/>
      <c r="E676" s="19"/>
      <c r="F676" s="5"/>
      <c r="H676" s="19"/>
    </row>
    <row r="677">
      <c r="A677" s="44"/>
      <c r="C677" s="61"/>
      <c r="E677" s="19"/>
      <c r="F677" s="5"/>
      <c r="H677" s="19"/>
    </row>
    <row r="678">
      <c r="A678" s="44"/>
      <c r="C678" s="61"/>
      <c r="E678" s="19"/>
      <c r="F678" s="5"/>
      <c r="H678" s="19"/>
    </row>
    <row r="679">
      <c r="A679" s="44"/>
      <c r="C679" s="61"/>
      <c r="E679" s="19"/>
      <c r="F679" s="5"/>
      <c r="H679" s="19"/>
    </row>
    <row r="680">
      <c r="A680" s="44"/>
      <c r="C680" s="61"/>
      <c r="E680" s="19"/>
      <c r="F680" s="5"/>
      <c r="H680" s="19"/>
    </row>
    <row r="681">
      <c r="A681" s="44"/>
      <c r="C681" s="61"/>
      <c r="E681" s="19"/>
      <c r="F681" s="5"/>
      <c r="H681" s="19"/>
    </row>
    <row r="682">
      <c r="A682" s="44"/>
      <c r="C682" s="61"/>
      <c r="E682" s="19"/>
      <c r="F682" s="5"/>
      <c r="H682" s="19"/>
    </row>
    <row r="683">
      <c r="A683" s="44"/>
      <c r="C683" s="61"/>
      <c r="E683" s="19"/>
      <c r="F683" s="5"/>
      <c r="H683" s="19"/>
    </row>
    <row r="684">
      <c r="A684" s="44"/>
      <c r="C684" s="61"/>
      <c r="E684" s="19"/>
      <c r="F684" s="5"/>
      <c r="H684" s="19"/>
    </row>
    <row r="685">
      <c r="A685" s="44"/>
      <c r="C685" s="61"/>
      <c r="E685" s="19"/>
      <c r="F685" s="5"/>
      <c r="H685" s="19"/>
    </row>
    <row r="686">
      <c r="A686" s="44"/>
      <c r="C686" s="61"/>
      <c r="E686" s="19"/>
      <c r="F686" s="5"/>
      <c r="H686" s="19"/>
    </row>
    <row r="687">
      <c r="A687" s="44"/>
      <c r="C687" s="61"/>
      <c r="E687" s="19"/>
      <c r="F687" s="5"/>
      <c r="H687" s="19"/>
    </row>
    <row r="688">
      <c r="A688" s="44"/>
      <c r="C688" s="61"/>
      <c r="E688" s="19"/>
      <c r="F688" s="5"/>
      <c r="H688" s="19"/>
    </row>
    <row r="689">
      <c r="A689" s="44"/>
      <c r="C689" s="61"/>
      <c r="E689" s="19"/>
      <c r="F689" s="5"/>
      <c r="H689" s="19"/>
    </row>
    <row r="690">
      <c r="A690" s="44"/>
      <c r="C690" s="61"/>
      <c r="E690" s="19"/>
      <c r="F690" s="5"/>
      <c r="H690" s="19"/>
    </row>
    <row r="691">
      <c r="A691" s="44"/>
      <c r="C691" s="61"/>
      <c r="E691" s="19"/>
      <c r="F691" s="5"/>
      <c r="H691" s="19"/>
    </row>
    <row r="692">
      <c r="A692" s="44"/>
      <c r="C692" s="61"/>
      <c r="E692" s="19"/>
      <c r="F692" s="5"/>
      <c r="H692" s="19"/>
    </row>
    <row r="693">
      <c r="A693" s="44"/>
      <c r="C693" s="61"/>
      <c r="E693" s="19"/>
      <c r="F693" s="5"/>
      <c r="H693" s="19"/>
    </row>
    <row r="694">
      <c r="A694" s="44"/>
      <c r="C694" s="61"/>
      <c r="E694" s="19"/>
      <c r="F694" s="5"/>
      <c r="H694" s="19"/>
    </row>
    <row r="695">
      <c r="A695" s="44"/>
      <c r="C695" s="61"/>
      <c r="E695" s="19"/>
      <c r="F695" s="5"/>
      <c r="H695" s="19"/>
    </row>
    <row r="696">
      <c r="A696" s="44"/>
      <c r="C696" s="61"/>
      <c r="E696" s="19"/>
      <c r="F696" s="5"/>
      <c r="H696" s="19"/>
    </row>
    <row r="697">
      <c r="A697" s="44"/>
      <c r="C697" s="61"/>
      <c r="E697" s="19"/>
      <c r="F697" s="5"/>
      <c r="H697" s="19"/>
    </row>
    <row r="698">
      <c r="A698" s="44"/>
      <c r="C698" s="61"/>
      <c r="E698" s="19"/>
      <c r="F698" s="5"/>
      <c r="H698" s="19"/>
    </row>
    <row r="699">
      <c r="A699" s="44"/>
      <c r="C699" s="61"/>
      <c r="E699" s="19"/>
      <c r="F699" s="5"/>
      <c r="H699" s="19"/>
    </row>
    <row r="700">
      <c r="A700" s="44"/>
      <c r="C700" s="61"/>
      <c r="E700" s="19"/>
      <c r="F700" s="5"/>
      <c r="H700" s="19"/>
    </row>
    <row r="701">
      <c r="A701" s="44"/>
      <c r="C701" s="61"/>
      <c r="E701" s="19"/>
      <c r="F701" s="5"/>
      <c r="H701" s="19"/>
    </row>
    <row r="702">
      <c r="A702" s="44"/>
      <c r="C702" s="61"/>
      <c r="E702" s="19"/>
      <c r="F702" s="5"/>
      <c r="H702" s="19"/>
    </row>
    <row r="703">
      <c r="A703" s="44"/>
      <c r="C703" s="61"/>
      <c r="E703" s="19"/>
      <c r="F703" s="5"/>
      <c r="H703" s="19"/>
    </row>
    <row r="704">
      <c r="A704" s="44"/>
      <c r="C704" s="61"/>
      <c r="E704" s="19"/>
      <c r="F704" s="5"/>
      <c r="H704" s="19"/>
    </row>
    <row r="705">
      <c r="A705" s="44"/>
      <c r="C705" s="61"/>
      <c r="E705" s="19"/>
      <c r="F705" s="5"/>
      <c r="H705" s="19"/>
    </row>
    <row r="706">
      <c r="A706" s="44"/>
      <c r="C706" s="61"/>
      <c r="E706" s="19"/>
      <c r="F706" s="5"/>
      <c r="H706" s="19"/>
    </row>
    <row r="707">
      <c r="A707" s="44"/>
      <c r="C707" s="61"/>
      <c r="E707" s="19"/>
      <c r="F707" s="5"/>
      <c r="H707" s="19"/>
    </row>
    <row r="708">
      <c r="A708" s="44"/>
      <c r="C708" s="61"/>
      <c r="E708" s="19"/>
      <c r="F708" s="5"/>
      <c r="H708" s="19"/>
    </row>
    <row r="709">
      <c r="A709" s="44"/>
      <c r="C709" s="61"/>
      <c r="E709" s="19"/>
      <c r="F709" s="5"/>
      <c r="H709" s="19"/>
    </row>
    <row r="710">
      <c r="A710" s="44"/>
      <c r="C710" s="61"/>
      <c r="E710" s="19"/>
      <c r="F710" s="5"/>
      <c r="H710" s="19"/>
    </row>
    <row r="711">
      <c r="A711" s="44"/>
      <c r="C711" s="61"/>
      <c r="E711" s="19"/>
      <c r="F711" s="5"/>
      <c r="H711" s="19"/>
    </row>
    <row r="712">
      <c r="A712" s="44"/>
      <c r="C712" s="61"/>
      <c r="E712" s="19"/>
      <c r="F712" s="5"/>
      <c r="H712" s="19"/>
    </row>
    <row r="713">
      <c r="A713" s="44"/>
      <c r="C713" s="61"/>
      <c r="E713" s="19"/>
      <c r="F713" s="5"/>
      <c r="H713" s="19"/>
    </row>
    <row r="714">
      <c r="A714" s="44"/>
      <c r="C714" s="61"/>
      <c r="E714" s="19"/>
      <c r="F714" s="5"/>
      <c r="H714" s="19"/>
    </row>
    <row r="715">
      <c r="A715" s="44"/>
      <c r="C715" s="61"/>
      <c r="E715" s="19"/>
      <c r="F715" s="5"/>
      <c r="H715" s="19"/>
    </row>
    <row r="716">
      <c r="A716" s="44"/>
      <c r="C716" s="61"/>
      <c r="E716" s="19"/>
      <c r="F716" s="5"/>
      <c r="H716" s="19"/>
    </row>
    <row r="717">
      <c r="A717" s="44"/>
      <c r="C717" s="61"/>
      <c r="E717" s="19"/>
      <c r="F717" s="5"/>
      <c r="H717" s="19"/>
    </row>
    <row r="718">
      <c r="A718" s="44"/>
      <c r="C718" s="61"/>
      <c r="E718" s="19"/>
      <c r="F718" s="5"/>
      <c r="H718" s="19"/>
    </row>
    <row r="719">
      <c r="A719" s="44"/>
      <c r="C719" s="61"/>
      <c r="E719" s="19"/>
      <c r="F719" s="5"/>
      <c r="H719" s="19"/>
    </row>
    <row r="720">
      <c r="A720" s="44"/>
      <c r="C720" s="61"/>
      <c r="E720" s="19"/>
      <c r="F720" s="5"/>
      <c r="H720" s="19"/>
    </row>
    <row r="721">
      <c r="A721" s="44"/>
      <c r="C721" s="61"/>
      <c r="E721" s="19"/>
      <c r="F721" s="5"/>
      <c r="H721" s="19"/>
    </row>
    <row r="722">
      <c r="A722" s="44"/>
      <c r="C722" s="61"/>
      <c r="E722" s="19"/>
      <c r="F722" s="5"/>
      <c r="H722" s="19"/>
    </row>
    <row r="723">
      <c r="A723" s="44"/>
      <c r="C723" s="61"/>
      <c r="E723" s="19"/>
      <c r="F723" s="5"/>
      <c r="H723" s="19"/>
    </row>
    <row r="724">
      <c r="A724" s="44"/>
      <c r="C724" s="61"/>
      <c r="E724" s="19"/>
      <c r="F724" s="5"/>
      <c r="H724" s="19"/>
    </row>
    <row r="725">
      <c r="A725" s="44"/>
      <c r="C725" s="61"/>
      <c r="E725" s="19"/>
      <c r="F725" s="5"/>
      <c r="H725" s="19"/>
    </row>
    <row r="726">
      <c r="A726" s="44"/>
      <c r="C726" s="61"/>
      <c r="E726" s="19"/>
      <c r="F726" s="5"/>
      <c r="H726" s="19"/>
    </row>
    <row r="727">
      <c r="A727" s="44"/>
      <c r="C727" s="61"/>
      <c r="E727" s="19"/>
      <c r="F727" s="5"/>
      <c r="H727" s="19"/>
    </row>
    <row r="728">
      <c r="A728" s="44"/>
      <c r="C728" s="61"/>
      <c r="E728" s="19"/>
      <c r="F728" s="5"/>
      <c r="H728" s="19"/>
    </row>
    <row r="729">
      <c r="A729" s="44"/>
      <c r="C729" s="61"/>
      <c r="E729" s="19"/>
      <c r="F729" s="5"/>
      <c r="H729" s="19"/>
    </row>
    <row r="730">
      <c r="A730" s="44"/>
      <c r="C730" s="61"/>
      <c r="E730" s="19"/>
      <c r="F730" s="5"/>
      <c r="H730" s="19"/>
    </row>
    <row r="731">
      <c r="A731" s="44"/>
      <c r="C731" s="61"/>
      <c r="E731" s="19"/>
      <c r="F731" s="5"/>
      <c r="H731" s="19"/>
    </row>
    <row r="732">
      <c r="A732" s="44"/>
      <c r="C732" s="61"/>
      <c r="E732" s="19"/>
      <c r="F732" s="5"/>
      <c r="H732" s="19"/>
    </row>
    <row r="733">
      <c r="A733" s="44"/>
      <c r="C733" s="61"/>
      <c r="E733" s="19"/>
      <c r="F733" s="5"/>
      <c r="H733" s="19"/>
    </row>
    <row r="734">
      <c r="A734" s="44"/>
      <c r="C734" s="61"/>
      <c r="E734" s="19"/>
      <c r="F734" s="5"/>
      <c r="H734" s="19"/>
    </row>
    <row r="735">
      <c r="A735" s="44"/>
      <c r="C735" s="61"/>
      <c r="E735" s="19"/>
      <c r="F735" s="5"/>
      <c r="H735" s="19"/>
    </row>
    <row r="736">
      <c r="A736" s="44"/>
      <c r="C736" s="61"/>
      <c r="E736" s="19"/>
      <c r="F736" s="5"/>
      <c r="H736" s="19"/>
    </row>
    <row r="737">
      <c r="A737" s="44"/>
      <c r="C737" s="61"/>
      <c r="E737" s="19"/>
      <c r="F737" s="5"/>
      <c r="H737" s="19"/>
    </row>
    <row r="738">
      <c r="A738" s="44"/>
      <c r="C738" s="61"/>
      <c r="E738" s="19"/>
      <c r="F738" s="5"/>
      <c r="H738" s="19"/>
    </row>
    <row r="739">
      <c r="A739" s="44"/>
      <c r="C739" s="61"/>
      <c r="E739" s="19"/>
      <c r="F739" s="5"/>
      <c r="H739" s="19"/>
    </row>
    <row r="740">
      <c r="A740" s="44"/>
      <c r="C740" s="61"/>
      <c r="E740" s="19"/>
      <c r="F740" s="5"/>
      <c r="H740" s="19"/>
    </row>
    <row r="741">
      <c r="A741" s="44"/>
      <c r="C741" s="61"/>
      <c r="E741" s="19"/>
      <c r="F741" s="5"/>
      <c r="H741" s="19"/>
    </row>
    <row r="742">
      <c r="A742" s="44"/>
      <c r="C742" s="61"/>
      <c r="E742" s="19"/>
      <c r="F742" s="5"/>
      <c r="H742" s="19"/>
    </row>
    <row r="743">
      <c r="A743" s="44"/>
      <c r="C743" s="61"/>
      <c r="E743" s="19"/>
      <c r="F743" s="5"/>
      <c r="H743" s="19"/>
    </row>
    <row r="744">
      <c r="A744" s="44"/>
      <c r="C744" s="61"/>
      <c r="E744" s="19"/>
      <c r="F744" s="5"/>
      <c r="H744" s="19"/>
    </row>
    <row r="745">
      <c r="A745" s="44"/>
      <c r="C745" s="61"/>
      <c r="E745" s="19"/>
      <c r="F745" s="5"/>
      <c r="H745" s="19"/>
    </row>
    <row r="746">
      <c r="A746" s="44"/>
      <c r="C746" s="61"/>
      <c r="E746" s="19"/>
      <c r="F746" s="5"/>
      <c r="H746" s="19"/>
    </row>
    <row r="747">
      <c r="A747" s="44"/>
      <c r="C747" s="61"/>
      <c r="E747" s="19"/>
      <c r="F747" s="5"/>
      <c r="H747" s="19"/>
    </row>
    <row r="748">
      <c r="A748" s="44"/>
      <c r="C748" s="61"/>
      <c r="E748" s="19"/>
      <c r="F748" s="5"/>
      <c r="H748" s="19"/>
    </row>
    <row r="749">
      <c r="A749" s="44"/>
      <c r="C749" s="61"/>
      <c r="E749" s="19"/>
      <c r="F749" s="5"/>
      <c r="H749" s="19"/>
    </row>
    <row r="750">
      <c r="A750" s="44"/>
      <c r="C750" s="61"/>
      <c r="E750" s="19"/>
      <c r="F750" s="5"/>
      <c r="H750" s="19"/>
    </row>
    <row r="751">
      <c r="A751" s="44"/>
      <c r="C751" s="61"/>
      <c r="E751" s="19"/>
      <c r="F751" s="5"/>
      <c r="H751" s="19"/>
    </row>
    <row r="752">
      <c r="A752" s="44"/>
      <c r="C752" s="61"/>
      <c r="E752" s="19"/>
      <c r="F752" s="5"/>
      <c r="H752" s="19"/>
    </row>
    <row r="753">
      <c r="A753" s="44"/>
      <c r="C753" s="61"/>
      <c r="E753" s="19"/>
      <c r="F753" s="5"/>
      <c r="H753" s="19"/>
    </row>
    <row r="754">
      <c r="A754" s="44"/>
      <c r="C754" s="61"/>
      <c r="E754" s="19"/>
      <c r="F754" s="5"/>
      <c r="H754" s="19"/>
    </row>
    <row r="755">
      <c r="A755" s="44"/>
      <c r="C755" s="61"/>
      <c r="E755" s="19"/>
      <c r="F755" s="5"/>
      <c r="H755" s="19"/>
    </row>
    <row r="756">
      <c r="A756" s="44"/>
      <c r="C756" s="61"/>
      <c r="E756" s="19"/>
      <c r="F756" s="5"/>
      <c r="H756" s="19"/>
    </row>
    <row r="757">
      <c r="A757" s="44"/>
      <c r="C757" s="61"/>
      <c r="E757" s="19"/>
      <c r="F757" s="5"/>
      <c r="H757" s="19"/>
    </row>
    <row r="758">
      <c r="A758" s="44"/>
      <c r="C758" s="61"/>
      <c r="E758" s="19"/>
      <c r="F758" s="5"/>
      <c r="H758" s="19"/>
    </row>
    <row r="759">
      <c r="A759" s="44"/>
      <c r="C759" s="61"/>
      <c r="E759" s="19"/>
      <c r="F759" s="5"/>
      <c r="H759" s="19"/>
    </row>
    <row r="760">
      <c r="A760" s="44"/>
      <c r="C760" s="61"/>
      <c r="E760" s="19"/>
      <c r="F760" s="5"/>
      <c r="H760" s="19"/>
    </row>
    <row r="761">
      <c r="A761" s="44"/>
      <c r="C761" s="61"/>
      <c r="E761" s="19"/>
      <c r="F761" s="5"/>
      <c r="H761" s="19"/>
    </row>
    <row r="762">
      <c r="A762" s="44"/>
      <c r="C762" s="61"/>
      <c r="E762" s="19"/>
      <c r="F762" s="5"/>
      <c r="H762" s="19"/>
    </row>
    <row r="763">
      <c r="A763" s="44"/>
      <c r="C763" s="61"/>
      <c r="E763" s="19"/>
      <c r="F763" s="5"/>
      <c r="H763" s="19"/>
    </row>
    <row r="764">
      <c r="A764" s="44"/>
      <c r="C764" s="61"/>
      <c r="E764" s="19"/>
      <c r="F764" s="5"/>
      <c r="H764" s="19"/>
    </row>
    <row r="765">
      <c r="A765" s="44"/>
      <c r="C765" s="61"/>
      <c r="E765" s="19"/>
      <c r="F765" s="5"/>
      <c r="H765" s="19"/>
    </row>
    <row r="766">
      <c r="A766" s="44"/>
      <c r="C766" s="61"/>
      <c r="E766" s="19"/>
      <c r="F766" s="5"/>
      <c r="H766" s="19"/>
    </row>
    <row r="767">
      <c r="A767" s="44"/>
      <c r="C767" s="61"/>
      <c r="E767" s="19"/>
      <c r="F767" s="5"/>
      <c r="H767" s="19"/>
    </row>
    <row r="768">
      <c r="A768" s="44"/>
      <c r="C768" s="61"/>
      <c r="E768" s="19"/>
      <c r="F768" s="5"/>
      <c r="H768" s="19"/>
    </row>
    <row r="769">
      <c r="A769" s="44"/>
      <c r="C769" s="61"/>
      <c r="E769" s="19"/>
      <c r="F769" s="5"/>
      <c r="H769" s="19"/>
    </row>
    <row r="770">
      <c r="A770" s="44"/>
      <c r="C770" s="61"/>
      <c r="E770" s="19"/>
      <c r="F770" s="5"/>
      <c r="H770" s="19"/>
    </row>
    <row r="771">
      <c r="A771" s="44"/>
      <c r="C771" s="61"/>
      <c r="E771" s="19"/>
      <c r="F771" s="5"/>
      <c r="H771" s="19"/>
    </row>
    <row r="772">
      <c r="A772" s="44"/>
      <c r="C772" s="61"/>
      <c r="E772" s="19"/>
      <c r="F772" s="5"/>
      <c r="H772" s="19"/>
    </row>
    <row r="773">
      <c r="A773" s="44"/>
      <c r="C773" s="61"/>
      <c r="E773" s="19"/>
      <c r="F773" s="5"/>
      <c r="H773" s="19"/>
    </row>
    <row r="774">
      <c r="A774" s="44"/>
      <c r="C774" s="61"/>
      <c r="E774" s="19"/>
      <c r="F774" s="5"/>
      <c r="H774" s="19"/>
    </row>
    <row r="775">
      <c r="A775" s="44"/>
      <c r="C775" s="61"/>
      <c r="E775" s="19"/>
      <c r="F775" s="5"/>
      <c r="H775" s="19"/>
    </row>
    <row r="776">
      <c r="A776" s="44"/>
      <c r="C776" s="61"/>
      <c r="E776" s="19"/>
      <c r="F776" s="5"/>
      <c r="H776" s="19"/>
    </row>
    <row r="777">
      <c r="A777" s="44"/>
      <c r="C777" s="61"/>
      <c r="E777" s="19"/>
      <c r="F777" s="5"/>
      <c r="H777" s="19"/>
    </row>
    <row r="778">
      <c r="A778" s="44"/>
      <c r="C778" s="61"/>
      <c r="E778" s="19"/>
      <c r="F778" s="5"/>
      <c r="H778" s="19"/>
    </row>
    <row r="779">
      <c r="A779" s="44"/>
      <c r="C779" s="61"/>
      <c r="E779" s="19"/>
      <c r="F779" s="5"/>
      <c r="H779" s="19"/>
    </row>
    <row r="780">
      <c r="A780" s="44"/>
      <c r="C780" s="61"/>
      <c r="E780" s="19"/>
      <c r="F780" s="5"/>
      <c r="H780" s="19"/>
    </row>
    <row r="781">
      <c r="A781" s="44"/>
      <c r="C781" s="61"/>
      <c r="E781" s="19"/>
      <c r="F781" s="5"/>
      <c r="H781" s="19"/>
    </row>
    <row r="782">
      <c r="A782" s="44"/>
      <c r="C782" s="61"/>
      <c r="E782" s="19"/>
      <c r="F782" s="5"/>
      <c r="H782" s="19"/>
    </row>
    <row r="783">
      <c r="A783" s="44"/>
      <c r="C783" s="61"/>
      <c r="E783" s="19"/>
      <c r="F783" s="5"/>
      <c r="H783" s="19"/>
    </row>
    <row r="784">
      <c r="A784" s="44"/>
      <c r="C784" s="61"/>
      <c r="E784" s="19"/>
      <c r="F784" s="5"/>
      <c r="H784" s="19"/>
    </row>
    <row r="785">
      <c r="A785" s="44"/>
      <c r="C785" s="61"/>
      <c r="E785" s="19"/>
      <c r="F785" s="5"/>
      <c r="H785" s="19"/>
    </row>
    <row r="786">
      <c r="A786" s="44"/>
      <c r="C786" s="61"/>
      <c r="E786" s="19"/>
      <c r="F786" s="5"/>
      <c r="H786" s="19"/>
    </row>
    <row r="787">
      <c r="A787" s="44"/>
      <c r="C787" s="61"/>
      <c r="E787" s="19"/>
      <c r="F787" s="5"/>
      <c r="H787" s="19"/>
    </row>
    <row r="788">
      <c r="A788" s="44"/>
      <c r="C788" s="61"/>
      <c r="E788" s="19"/>
      <c r="F788" s="5"/>
      <c r="H788" s="19"/>
    </row>
    <row r="789">
      <c r="A789" s="44"/>
      <c r="C789" s="61"/>
      <c r="E789" s="19"/>
      <c r="F789" s="5"/>
      <c r="H789" s="19"/>
    </row>
    <row r="790">
      <c r="A790" s="44"/>
      <c r="C790" s="61"/>
      <c r="E790" s="19"/>
      <c r="F790" s="5"/>
      <c r="H790" s="19"/>
    </row>
    <row r="791">
      <c r="A791" s="44"/>
      <c r="C791" s="61"/>
      <c r="E791" s="19"/>
      <c r="F791" s="5"/>
      <c r="H791" s="19"/>
    </row>
    <row r="792">
      <c r="A792" s="44"/>
      <c r="C792" s="61"/>
      <c r="E792" s="19"/>
      <c r="F792" s="5"/>
      <c r="H792" s="19"/>
    </row>
    <row r="793">
      <c r="A793" s="44"/>
      <c r="C793" s="61"/>
      <c r="E793" s="19"/>
      <c r="F793" s="5"/>
      <c r="H793" s="19"/>
    </row>
    <row r="794">
      <c r="A794" s="44"/>
      <c r="C794" s="61"/>
      <c r="E794" s="19"/>
      <c r="F794" s="5"/>
      <c r="H794" s="19"/>
    </row>
    <row r="795">
      <c r="A795" s="44"/>
      <c r="C795" s="61"/>
      <c r="E795" s="19"/>
      <c r="F795" s="5"/>
      <c r="H795" s="19"/>
    </row>
    <row r="796">
      <c r="A796" s="44"/>
      <c r="C796" s="61"/>
      <c r="E796" s="19"/>
      <c r="F796" s="5"/>
      <c r="H796" s="19"/>
    </row>
    <row r="797">
      <c r="A797" s="44"/>
      <c r="C797" s="61"/>
      <c r="E797" s="19"/>
      <c r="F797" s="5"/>
      <c r="H797" s="19"/>
    </row>
    <row r="798">
      <c r="A798" s="44"/>
      <c r="C798" s="61"/>
      <c r="E798" s="19"/>
      <c r="F798" s="5"/>
      <c r="H798" s="19"/>
    </row>
    <row r="799">
      <c r="A799" s="44"/>
      <c r="C799" s="61"/>
      <c r="E799" s="19"/>
      <c r="F799" s="5"/>
      <c r="H799" s="19"/>
    </row>
    <row r="800">
      <c r="A800" s="44"/>
      <c r="C800" s="61"/>
      <c r="E800" s="19"/>
      <c r="F800" s="5"/>
      <c r="H800" s="19"/>
    </row>
    <row r="801">
      <c r="A801" s="44"/>
      <c r="C801" s="61"/>
      <c r="E801" s="19"/>
      <c r="F801" s="5"/>
      <c r="H801" s="19"/>
    </row>
    <row r="802">
      <c r="A802" s="44"/>
      <c r="C802" s="61"/>
      <c r="E802" s="19"/>
      <c r="F802" s="5"/>
      <c r="H802" s="19"/>
    </row>
    <row r="803">
      <c r="A803" s="44"/>
      <c r="C803" s="61"/>
      <c r="E803" s="19"/>
      <c r="F803" s="5"/>
      <c r="H803" s="19"/>
    </row>
    <row r="804">
      <c r="A804" s="44"/>
      <c r="C804" s="61"/>
      <c r="E804" s="19"/>
      <c r="F804" s="5"/>
      <c r="H804" s="19"/>
    </row>
    <row r="805">
      <c r="A805" s="44"/>
      <c r="C805" s="61"/>
      <c r="E805" s="19"/>
      <c r="F805" s="5"/>
      <c r="H805" s="19"/>
    </row>
    <row r="806">
      <c r="A806" s="44"/>
      <c r="C806" s="61"/>
      <c r="E806" s="19"/>
      <c r="F806" s="5"/>
      <c r="H806" s="19"/>
    </row>
    <row r="807">
      <c r="A807" s="44"/>
      <c r="C807" s="61"/>
      <c r="E807" s="19"/>
      <c r="F807" s="5"/>
      <c r="H807" s="19"/>
    </row>
    <row r="808">
      <c r="A808" s="44"/>
      <c r="C808" s="61"/>
      <c r="E808" s="19"/>
      <c r="F808" s="5"/>
      <c r="H808" s="19"/>
    </row>
    <row r="809">
      <c r="A809" s="44"/>
      <c r="C809" s="61"/>
      <c r="E809" s="19"/>
      <c r="F809" s="5"/>
      <c r="H809" s="19"/>
    </row>
    <row r="810">
      <c r="A810" s="44"/>
      <c r="C810" s="61"/>
      <c r="E810" s="19"/>
      <c r="F810" s="5"/>
      <c r="H810" s="19"/>
    </row>
    <row r="811">
      <c r="A811" s="44"/>
      <c r="C811" s="61"/>
      <c r="E811" s="19"/>
      <c r="F811" s="5"/>
      <c r="H811" s="19"/>
    </row>
    <row r="812">
      <c r="A812" s="44"/>
      <c r="C812" s="61"/>
      <c r="E812" s="19"/>
      <c r="F812" s="5"/>
      <c r="H812" s="19"/>
    </row>
    <row r="813">
      <c r="A813" s="44"/>
      <c r="C813" s="61"/>
      <c r="E813" s="19"/>
      <c r="F813" s="5"/>
      <c r="H813" s="19"/>
    </row>
    <row r="814">
      <c r="A814" s="44"/>
      <c r="C814" s="61"/>
      <c r="E814" s="19"/>
      <c r="F814" s="5"/>
      <c r="H814" s="19"/>
    </row>
    <row r="815">
      <c r="A815" s="44"/>
      <c r="C815" s="61"/>
      <c r="E815" s="19"/>
      <c r="F815" s="5"/>
      <c r="H815" s="19"/>
    </row>
    <row r="816">
      <c r="A816" s="44"/>
      <c r="C816" s="61"/>
      <c r="E816" s="19"/>
      <c r="F816" s="5"/>
      <c r="H816" s="19"/>
    </row>
    <row r="817">
      <c r="A817" s="44"/>
      <c r="C817" s="61"/>
      <c r="E817" s="19"/>
      <c r="F817" s="5"/>
      <c r="H817" s="19"/>
    </row>
    <row r="818">
      <c r="A818" s="44"/>
      <c r="C818" s="61"/>
      <c r="E818" s="19"/>
      <c r="F818" s="5"/>
      <c r="H818" s="19"/>
    </row>
    <row r="819">
      <c r="A819" s="44"/>
      <c r="C819" s="61"/>
      <c r="E819" s="19"/>
      <c r="F819" s="5"/>
      <c r="H819" s="19"/>
    </row>
    <row r="820">
      <c r="A820" s="44"/>
      <c r="C820" s="61"/>
      <c r="E820" s="19"/>
      <c r="F820" s="5"/>
      <c r="H820" s="19"/>
    </row>
    <row r="821">
      <c r="A821" s="44"/>
      <c r="C821" s="61"/>
      <c r="E821" s="19"/>
      <c r="F821" s="5"/>
      <c r="H821" s="19"/>
    </row>
    <row r="822">
      <c r="A822" s="44"/>
      <c r="C822" s="61"/>
      <c r="E822" s="19"/>
      <c r="F822" s="5"/>
      <c r="H822" s="19"/>
    </row>
    <row r="823">
      <c r="A823" s="44"/>
      <c r="C823" s="61"/>
      <c r="E823" s="19"/>
      <c r="F823" s="5"/>
      <c r="H823" s="19"/>
    </row>
    <row r="824">
      <c r="A824" s="44"/>
      <c r="C824" s="61"/>
      <c r="E824" s="19"/>
      <c r="F824" s="5"/>
      <c r="H824" s="19"/>
    </row>
    <row r="825">
      <c r="A825" s="44"/>
      <c r="C825" s="61"/>
      <c r="E825" s="19"/>
      <c r="F825" s="5"/>
      <c r="H825" s="19"/>
    </row>
    <row r="826">
      <c r="A826" s="44"/>
      <c r="C826" s="61"/>
      <c r="E826" s="19"/>
      <c r="F826" s="5"/>
      <c r="H826" s="19"/>
    </row>
    <row r="827">
      <c r="A827" s="44"/>
      <c r="C827" s="61"/>
      <c r="E827" s="19"/>
      <c r="F827" s="5"/>
      <c r="H827" s="19"/>
    </row>
    <row r="828">
      <c r="A828" s="44"/>
      <c r="C828" s="61"/>
      <c r="E828" s="19"/>
      <c r="F828" s="5"/>
      <c r="H828" s="19"/>
    </row>
    <row r="829">
      <c r="A829" s="44"/>
      <c r="C829" s="61"/>
      <c r="E829" s="19"/>
      <c r="F829" s="5"/>
      <c r="H829" s="19"/>
    </row>
    <row r="830">
      <c r="A830" s="44"/>
      <c r="C830" s="61"/>
      <c r="E830" s="19"/>
      <c r="F830" s="5"/>
      <c r="H830" s="19"/>
    </row>
    <row r="831">
      <c r="A831" s="44"/>
      <c r="C831" s="61"/>
      <c r="E831" s="19"/>
      <c r="F831" s="5"/>
      <c r="H831" s="19"/>
    </row>
    <row r="832">
      <c r="A832" s="44"/>
      <c r="C832" s="61"/>
      <c r="E832" s="19"/>
      <c r="F832" s="5"/>
      <c r="H832" s="19"/>
    </row>
    <row r="833">
      <c r="A833" s="44"/>
      <c r="C833" s="61"/>
      <c r="E833" s="19"/>
      <c r="F833" s="5"/>
      <c r="H833" s="19"/>
    </row>
    <row r="834">
      <c r="A834" s="44"/>
      <c r="C834" s="61"/>
      <c r="E834" s="19"/>
      <c r="F834" s="5"/>
      <c r="H834" s="19"/>
    </row>
    <row r="835">
      <c r="A835" s="44"/>
      <c r="C835" s="61"/>
      <c r="E835" s="19"/>
      <c r="F835" s="5"/>
      <c r="H835" s="19"/>
    </row>
    <row r="836">
      <c r="A836" s="44"/>
      <c r="C836" s="61"/>
      <c r="E836" s="19"/>
      <c r="F836" s="5"/>
      <c r="H836" s="19"/>
    </row>
    <row r="837">
      <c r="A837" s="44"/>
      <c r="C837" s="61"/>
      <c r="E837" s="19"/>
      <c r="F837" s="5"/>
      <c r="H837" s="19"/>
    </row>
    <row r="838">
      <c r="A838" s="44"/>
      <c r="C838" s="61"/>
      <c r="E838" s="19"/>
      <c r="F838" s="5"/>
      <c r="H838" s="19"/>
    </row>
    <row r="839">
      <c r="A839" s="44"/>
      <c r="C839" s="61"/>
      <c r="E839" s="19"/>
      <c r="F839" s="5"/>
      <c r="H839" s="19"/>
    </row>
    <row r="840">
      <c r="A840" s="44"/>
      <c r="C840" s="61"/>
      <c r="E840" s="19"/>
      <c r="F840" s="5"/>
      <c r="H840" s="19"/>
    </row>
    <row r="841">
      <c r="A841" s="44"/>
      <c r="C841" s="61"/>
      <c r="E841" s="19"/>
      <c r="F841" s="5"/>
      <c r="H841" s="19"/>
    </row>
    <row r="842">
      <c r="A842" s="44"/>
      <c r="C842" s="61"/>
      <c r="E842" s="19"/>
      <c r="F842" s="5"/>
      <c r="H842" s="19"/>
    </row>
    <row r="843">
      <c r="A843" s="44"/>
      <c r="C843" s="61"/>
      <c r="E843" s="19"/>
      <c r="F843" s="5"/>
      <c r="H843" s="19"/>
    </row>
    <row r="844">
      <c r="A844" s="44"/>
      <c r="C844" s="61"/>
      <c r="E844" s="19"/>
      <c r="F844" s="5"/>
      <c r="H844" s="19"/>
    </row>
    <row r="845">
      <c r="A845" s="44"/>
      <c r="C845" s="61"/>
      <c r="E845" s="19"/>
      <c r="F845" s="5"/>
      <c r="H845" s="19"/>
    </row>
    <row r="846">
      <c r="A846" s="44"/>
      <c r="C846" s="61"/>
      <c r="E846" s="19"/>
      <c r="F846" s="5"/>
      <c r="H846" s="19"/>
    </row>
    <row r="847">
      <c r="A847" s="44"/>
      <c r="C847" s="61"/>
      <c r="E847" s="19"/>
      <c r="F847" s="5"/>
      <c r="H847" s="19"/>
    </row>
    <row r="848">
      <c r="A848" s="44"/>
      <c r="C848" s="61"/>
      <c r="E848" s="19"/>
      <c r="F848" s="5"/>
      <c r="H848" s="19"/>
    </row>
    <row r="849">
      <c r="A849" s="44"/>
      <c r="C849" s="61"/>
      <c r="E849" s="19"/>
      <c r="F849" s="5"/>
      <c r="H849" s="19"/>
    </row>
    <row r="850">
      <c r="A850" s="44"/>
      <c r="C850" s="61"/>
      <c r="E850" s="19"/>
      <c r="F850" s="5"/>
      <c r="H850" s="19"/>
    </row>
    <row r="851">
      <c r="A851" s="44"/>
      <c r="C851" s="61"/>
      <c r="E851" s="19"/>
      <c r="F851" s="5"/>
      <c r="H851" s="19"/>
    </row>
    <row r="852">
      <c r="A852" s="44"/>
      <c r="C852" s="61"/>
      <c r="E852" s="19"/>
      <c r="F852" s="5"/>
      <c r="H852" s="19"/>
    </row>
    <row r="853">
      <c r="A853" s="44"/>
      <c r="C853" s="61"/>
      <c r="E853" s="19"/>
      <c r="F853" s="5"/>
      <c r="H853" s="19"/>
    </row>
    <row r="854">
      <c r="A854" s="44"/>
      <c r="C854" s="61"/>
      <c r="E854" s="19"/>
      <c r="F854" s="5"/>
      <c r="H854" s="19"/>
    </row>
    <row r="855">
      <c r="A855" s="44"/>
      <c r="C855" s="61"/>
      <c r="E855" s="19"/>
      <c r="F855" s="5"/>
      <c r="H855" s="19"/>
    </row>
    <row r="856">
      <c r="A856" s="44"/>
      <c r="C856" s="61"/>
      <c r="E856" s="19"/>
      <c r="F856" s="5"/>
      <c r="H856" s="19"/>
    </row>
    <row r="857">
      <c r="A857" s="44"/>
      <c r="C857" s="61"/>
      <c r="E857" s="19"/>
      <c r="F857" s="5"/>
      <c r="H857" s="19"/>
    </row>
    <row r="858">
      <c r="A858" s="44"/>
      <c r="C858" s="61"/>
      <c r="E858" s="19"/>
      <c r="F858" s="5"/>
      <c r="H858" s="19"/>
    </row>
    <row r="859">
      <c r="A859" s="44"/>
      <c r="C859" s="61"/>
      <c r="E859" s="19"/>
      <c r="F859" s="5"/>
      <c r="H859" s="19"/>
    </row>
    <row r="860">
      <c r="A860" s="44"/>
      <c r="C860" s="61"/>
      <c r="E860" s="19"/>
      <c r="F860" s="5"/>
      <c r="H860" s="19"/>
    </row>
    <row r="861">
      <c r="A861" s="44"/>
      <c r="C861" s="61"/>
      <c r="E861" s="19"/>
      <c r="F861" s="5"/>
      <c r="H861" s="19"/>
    </row>
    <row r="862">
      <c r="A862" s="44"/>
      <c r="C862" s="61"/>
      <c r="E862" s="19"/>
      <c r="F862" s="5"/>
      <c r="H862" s="19"/>
    </row>
    <row r="863">
      <c r="A863" s="44"/>
      <c r="C863" s="61"/>
      <c r="E863" s="19"/>
      <c r="F863" s="5"/>
      <c r="H863" s="19"/>
    </row>
    <row r="864">
      <c r="A864" s="44"/>
      <c r="C864" s="61"/>
      <c r="E864" s="19"/>
      <c r="F864" s="5"/>
      <c r="H864" s="19"/>
    </row>
    <row r="865">
      <c r="A865" s="44"/>
      <c r="C865" s="61"/>
      <c r="E865" s="19"/>
      <c r="F865" s="5"/>
      <c r="H865" s="19"/>
    </row>
    <row r="866">
      <c r="A866" s="44"/>
      <c r="C866" s="61"/>
      <c r="E866" s="19"/>
      <c r="F866" s="5"/>
      <c r="H866" s="19"/>
    </row>
    <row r="867">
      <c r="A867" s="44"/>
      <c r="C867" s="61"/>
      <c r="E867" s="19"/>
      <c r="F867" s="5"/>
      <c r="H867" s="19"/>
    </row>
    <row r="868">
      <c r="A868" s="44"/>
      <c r="C868" s="61"/>
      <c r="E868" s="19"/>
      <c r="F868" s="5"/>
      <c r="H868" s="19"/>
    </row>
    <row r="869">
      <c r="A869" s="44"/>
      <c r="C869" s="61"/>
      <c r="E869" s="19"/>
      <c r="F869" s="5"/>
      <c r="H869" s="19"/>
    </row>
    <row r="870">
      <c r="A870" s="44"/>
      <c r="C870" s="61"/>
      <c r="E870" s="19"/>
      <c r="F870" s="5"/>
      <c r="H870" s="19"/>
    </row>
    <row r="871">
      <c r="A871" s="44"/>
      <c r="C871" s="61"/>
      <c r="E871" s="19"/>
      <c r="F871" s="5"/>
      <c r="H871" s="19"/>
    </row>
    <row r="872">
      <c r="A872" s="44"/>
      <c r="C872" s="61"/>
      <c r="E872" s="19"/>
      <c r="F872" s="5"/>
      <c r="H872" s="19"/>
    </row>
    <row r="873">
      <c r="A873" s="44"/>
      <c r="C873" s="61"/>
      <c r="E873" s="19"/>
      <c r="F873" s="5"/>
      <c r="H873" s="19"/>
    </row>
    <row r="874">
      <c r="A874" s="44"/>
      <c r="C874" s="61"/>
      <c r="E874" s="19"/>
      <c r="F874" s="5"/>
      <c r="H874" s="19"/>
    </row>
    <row r="875">
      <c r="A875" s="44"/>
      <c r="C875" s="61"/>
      <c r="E875" s="19"/>
      <c r="F875" s="5"/>
      <c r="H875" s="19"/>
    </row>
    <row r="876">
      <c r="A876" s="44"/>
      <c r="C876" s="61"/>
      <c r="E876" s="19"/>
      <c r="F876" s="5"/>
      <c r="H876" s="19"/>
    </row>
    <row r="877">
      <c r="A877" s="44"/>
      <c r="C877" s="61"/>
      <c r="E877" s="19"/>
      <c r="F877" s="5"/>
      <c r="H877" s="19"/>
    </row>
    <row r="878">
      <c r="A878" s="44"/>
      <c r="C878" s="61"/>
      <c r="E878" s="19"/>
      <c r="F878" s="5"/>
      <c r="H878" s="19"/>
    </row>
    <row r="879">
      <c r="A879" s="44"/>
      <c r="C879" s="61"/>
      <c r="E879" s="19"/>
      <c r="F879" s="5"/>
      <c r="H879" s="19"/>
    </row>
    <row r="880">
      <c r="A880" s="44"/>
      <c r="C880" s="61"/>
      <c r="E880" s="19"/>
      <c r="F880" s="5"/>
      <c r="H880" s="19"/>
    </row>
    <row r="881">
      <c r="A881" s="44"/>
      <c r="C881" s="61"/>
      <c r="E881" s="19"/>
      <c r="F881" s="5"/>
      <c r="H881" s="19"/>
    </row>
    <row r="882">
      <c r="A882" s="44"/>
      <c r="C882" s="61"/>
      <c r="E882" s="19"/>
      <c r="F882" s="5"/>
      <c r="H882" s="19"/>
    </row>
    <row r="883">
      <c r="A883" s="44"/>
      <c r="C883" s="61"/>
      <c r="E883" s="19"/>
      <c r="F883" s="5"/>
      <c r="H883" s="19"/>
    </row>
    <row r="884">
      <c r="A884" s="44"/>
      <c r="C884" s="61"/>
      <c r="E884" s="19"/>
      <c r="F884" s="5"/>
      <c r="H884" s="19"/>
    </row>
    <row r="885">
      <c r="A885" s="44"/>
      <c r="C885" s="61"/>
      <c r="E885" s="19"/>
      <c r="F885" s="5"/>
      <c r="H885" s="19"/>
    </row>
    <row r="886">
      <c r="A886" s="44"/>
      <c r="C886" s="61"/>
      <c r="E886" s="19"/>
      <c r="F886" s="5"/>
      <c r="H886" s="19"/>
    </row>
    <row r="887">
      <c r="A887" s="44"/>
      <c r="C887" s="61"/>
      <c r="E887" s="19"/>
      <c r="F887" s="5"/>
      <c r="H887" s="19"/>
    </row>
    <row r="888">
      <c r="A888" s="44"/>
      <c r="C888" s="61"/>
      <c r="E888" s="19"/>
      <c r="F888" s="5"/>
      <c r="H888" s="19"/>
    </row>
    <row r="889">
      <c r="A889" s="44"/>
      <c r="C889" s="61"/>
      <c r="E889" s="19"/>
      <c r="F889" s="5"/>
      <c r="H889" s="19"/>
    </row>
    <row r="890">
      <c r="A890" s="44"/>
      <c r="C890" s="61"/>
      <c r="E890" s="19"/>
      <c r="F890" s="5"/>
      <c r="H890" s="19"/>
    </row>
    <row r="891">
      <c r="A891" s="44"/>
      <c r="C891" s="61"/>
      <c r="E891" s="19"/>
      <c r="F891" s="5"/>
      <c r="H891" s="19"/>
    </row>
    <row r="892">
      <c r="A892" s="44"/>
      <c r="C892" s="61"/>
      <c r="E892" s="19"/>
      <c r="F892" s="5"/>
      <c r="H892" s="19"/>
    </row>
    <row r="893">
      <c r="A893" s="44"/>
      <c r="C893" s="61"/>
      <c r="E893" s="19"/>
      <c r="F893" s="5"/>
      <c r="H893" s="19"/>
    </row>
    <row r="894">
      <c r="A894" s="44"/>
      <c r="C894" s="61"/>
      <c r="E894" s="19"/>
      <c r="F894" s="5"/>
      <c r="H894" s="19"/>
    </row>
    <row r="895">
      <c r="A895" s="44"/>
      <c r="C895" s="61"/>
      <c r="E895" s="19"/>
      <c r="F895" s="5"/>
      <c r="H895" s="19"/>
    </row>
    <row r="896">
      <c r="A896" s="44"/>
      <c r="C896" s="61"/>
      <c r="E896" s="19"/>
      <c r="F896" s="5"/>
      <c r="H896" s="19"/>
    </row>
    <row r="897">
      <c r="A897" s="44"/>
      <c r="C897" s="61"/>
      <c r="E897" s="19"/>
      <c r="F897" s="5"/>
      <c r="H897" s="19"/>
    </row>
    <row r="898">
      <c r="A898" s="44"/>
      <c r="C898" s="61"/>
      <c r="E898" s="19"/>
      <c r="F898" s="5"/>
      <c r="H898" s="19"/>
    </row>
    <row r="899">
      <c r="A899" s="44"/>
      <c r="C899" s="61"/>
      <c r="E899" s="19"/>
      <c r="F899" s="5"/>
      <c r="H899" s="19"/>
    </row>
    <row r="900">
      <c r="A900" s="44"/>
      <c r="C900" s="61"/>
      <c r="E900" s="19"/>
      <c r="F900" s="5"/>
      <c r="H900" s="19"/>
    </row>
    <row r="901">
      <c r="A901" s="44"/>
      <c r="C901" s="61"/>
      <c r="E901" s="19"/>
      <c r="F901" s="5"/>
      <c r="H901" s="19"/>
    </row>
    <row r="902">
      <c r="A902" s="44"/>
      <c r="C902" s="61"/>
      <c r="E902" s="19"/>
      <c r="F902" s="5"/>
      <c r="H902" s="19"/>
    </row>
    <row r="903">
      <c r="A903" s="44"/>
      <c r="C903" s="61"/>
      <c r="E903" s="19"/>
      <c r="F903" s="5"/>
      <c r="H903" s="19"/>
    </row>
    <row r="904">
      <c r="A904" s="44"/>
      <c r="C904" s="61"/>
      <c r="E904" s="19"/>
      <c r="F904" s="5"/>
      <c r="H904" s="19"/>
    </row>
    <row r="905">
      <c r="A905" s="44"/>
      <c r="C905" s="61"/>
      <c r="E905" s="19"/>
      <c r="F905" s="5"/>
      <c r="H905" s="19"/>
    </row>
    <row r="906">
      <c r="A906" s="44"/>
      <c r="C906" s="61"/>
      <c r="E906" s="19"/>
      <c r="F906" s="5"/>
      <c r="H906" s="19"/>
    </row>
    <row r="907">
      <c r="A907" s="44"/>
      <c r="C907" s="61"/>
      <c r="E907" s="19"/>
      <c r="F907" s="5"/>
      <c r="H907" s="19"/>
    </row>
    <row r="908">
      <c r="A908" s="44"/>
      <c r="C908" s="61"/>
      <c r="E908" s="19"/>
      <c r="F908" s="5"/>
      <c r="H908" s="19"/>
    </row>
    <row r="909">
      <c r="A909" s="44"/>
      <c r="C909" s="61"/>
      <c r="E909" s="19"/>
      <c r="F909" s="5"/>
      <c r="H909" s="19"/>
    </row>
    <row r="910">
      <c r="A910" s="44"/>
      <c r="C910" s="61"/>
      <c r="E910" s="19"/>
      <c r="F910" s="5"/>
      <c r="H910" s="19"/>
    </row>
    <row r="911">
      <c r="A911" s="44"/>
      <c r="C911" s="61"/>
      <c r="E911" s="19"/>
      <c r="F911" s="5"/>
      <c r="H911" s="19"/>
    </row>
    <row r="912">
      <c r="A912" s="44"/>
      <c r="C912" s="61"/>
      <c r="E912" s="19"/>
      <c r="F912" s="5"/>
      <c r="H912" s="19"/>
    </row>
    <row r="913">
      <c r="A913" s="44"/>
      <c r="C913" s="61"/>
      <c r="E913" s="19"/>
      <c r="F913" s="5"/>
      <c r="H913" s="19"/>
    </row>
    <row r="914">
      <c r="A914" s="44"/>
      <c r="C914" s="61"/>
      <c r="E914" s="19"/>
      <c r="F914" s="5"/>
      <c r="H914" s="19"/>
    </row>
    <row r="915">
      <c r="A915" s="44"/>
      <c r="C915" s="61"/>
      <c r="E915" s="19"/>
      <c r="F915" s="5"/>
      <c r="H915" s="19"/>
    </row>
    <row r="916">
      <c r="A916" s="44"/>
      <c r="C916" s="61"/>
      <c r="E916" s="19"/>
      <c r="F916" s="5"/>
      <c r="H916" s="19"/>
    </row>
    <row r="917">
      <c r="A917" s="44"/>
      <c r="C917" s="61"/>
      <c r="E917" s="19"/>
      <c r="F917" s="5"/>
      <c r="H917" s="19"/>
    </row>
    <row r="918">
      <c r="A918" s="44"/>
      <c r="C918" s="61"/>
      <c r="E918" s="19"/>
      <c r="F918" s="5"/>
      <c r="H918" s="19"/>
    </row>
    <row r="919">
      <c r="A919" s="44"/>
      <c r="C919" s="61"/>
      <c r="E919" s="19"/>
      <c r="F919" s="5"/>
      <c r="H919" s="19"/>
    </row>
    <row r="920">
      <c r="A920" s="44"/>
      <c r="C920" s="61"/>
      <c r="E920" s="19"/>
      <c r="F920" s="5"/>
      <c r="H920" s="19"/>
    </row>
    <row r="921">
      <c r="A921" s="44"/>
      <c r="C921" s="61"/>
      <c r="E921" s="19"/>
      <c r="F921" s="5"/>
      <c r="H921" s="19"/>
    </row>
    <row r="922">
      <c r="A922" s="44"/>
      <c r="C922" s="61"/>
      <c r="E922" s="19"/>
      <c r="F922" s="5"/>
      <c r="H922" s="19"/>
    </row>
    <row r="923">
      <c r="A923" s="44"/>
      <c r="C923" s="61"/>
      <c r="E923" s="19"/>
      <c r="F923" s="5"/>
      <c r="H923" s="19"/>
    </row>
    <row r="924">
      <c r="A924" s="44"/>
      <c r="C924" s="61"/>
      <c r="E924" s="19"/>
      <c r="F924" s="5"/>
      <c r="H924" s="19"/>
    </row>
    <row r="925">
      <c r="A925" s="44"/>
      <c r="C925" s="61"/>
      <c r="E925" s="19"/>
      <c r="F925" s="5"/>
      <c r="H925" s="19"/>
    </row>
    <row r="926">
      <c r="A926" s="44"/>
      <c r="C926" s="61"/>
      <c r="E926" s="19"/>
      <c r="F926" s="5"/>
      <c r="H926" s="19"/>
    </row>
    <row r="927">
      <c r="A927" s="44"/>
      <c r="C927" s="61"/>
      <c r="E927" s="19"/>
      <c r="F927" s="5"/>
      <c r="H927" s="19"/>
    </row>
    <row r="928">
      <c r="A928" s="44"/>
      <c r="C928" s="61"/>
      <c r="E928" s="19"/>
      <c r="F928" s="5"/>
      <c r="H928" s="19"/>
    </row>
    <row r="929">
      <c r="A929" s="44"/>
      <c r="C929" s="61"/>
      <c r="E929" s="19"/>
      <c r="F929" s="5"/>
      <c r="H929" s="19"/>
    </row>
    <row r="930">
      <c r="A930" s="44"/>
      <c r="C930" s="61"/>
      <c r="E930" s="19"/>
      <c r="F930" s="5"/>
      <c r="H930" s="19"/>
    </row>
    <row r="931">
      <c r="A931" s="44"/>
      <c r="C931" s="61"/>
      <c r="E931" s="19"/>
      <c r="F931" s="5"/>
      <c r="H931" s="19"/>
    </row>
    <row r="932">
      <c r="A932" s="44"/>
      <c r="C932" s="61"/>
      <c r="E932" s="19"/>
      <c r="F932" s="5"/>
      <c r="H932" s="19"/>
    </row>
    <row r="933">
      <c r="A933" s="44"/>
      <c r="C933" s="61"/>
      <c r="E933" s="19"/>
      <c r="F933" s="5"/>
      <c r="H933" s="19"/>
    </row>
    <row r="934">
      <c r="A934" s="44"/>
      <c r="C934" s="61"/>
      <c r="E934" s="19"/>
      <c r="F934" s="5"/>
      <c r="H934" s="19"/>
    </row>
    <row r="935">
      <c r="A935" s="44"/>
      <c r="C935" s="61"/>
      <c r="E935" s="19"/>
      <c r="F935" s="5"/>
      <c r="H935" s="19"/>
    </row>
    <row r="936">
      <c r="A936" s="44"/>
      <c r="C936" s="61"/>
      <c r="E936" s="19"/>
      <c r="F936" s="5"/>
      <c r="H936" s="19"/>
    </row>
    <row r="937">
      <c r="A937" s="44"/>
      <c r="C937" s="61"/>
      <c r="E937" s="19"/>
      <c r="F937" s="5"/>
      <c r="H937" s="19"/>
    </row>
    <row r="938">
      <c r="A938" s="44"/>
      <c r="C938" s="61"/>
      <c r="E938" s="19"/>
      <c r="F938" s="5"/>
      <c r="H938" s="19"/>
    </row>
    <row r="939">
      <c r="A939" s="44"/>
      <c r="C939" s="61"/>
      <c r="E939" s="19"/>
      <c r="F939" s="5"/>
      <c r="H939" s="19"/>
    </row>
    <row r="940">
      <c r="A940" s="44"/>
      <c r="C940" s="61"/>
      <c r="E940" s="19"/>
      <c r="F940" s="5"/>
      <c r="H940" s="19"/>
    </row>
    <row r="941">
      <c r="A941" s="44"/>
      <c r="C941" s="61"/>
      <c r="E941" s="19"/>
      <c r="F941" s="5"/>
      <c r="H941" s="19"/>
    </row>
    <row r="942">
      <c r="A942" s="44"/>
      <c r="C942" s="61"/>
      <c r="E942" s="19"/>
      <c r="F942" s="5"/>
      <c r="H942" s="19"/>
    </row>
    <row r="943">
      <c r="A943" s="44"/>
      <c r="C943" s="61"/>
      <c r="E943" s="19"/>
      <c r="F943" s="5"/>
      <c r="H943" s="19"/>
    </row>
    <row r="944">
      <c r="A944" s="44"/>
      <c r="C944" s="61"/>
      <c r="E944" s="19"/>
      <c r="F944" s="5"/>
      <c r="H944" s="19"/>
    </row>
    <row r="945">
      <c r="A945" s="44"/>
      <c r="C945" s="61"/>
      <c r="E945" s="19"/>
      <c r="F945" s="5"/>
      <c r="H945" s="19"/>
    </row>
    <row r="946">
      <c r="A946" s="44"/>
      <c r="C946" s="61"/>
      <c r="E946" s="19"/>
      <c r="F946" s="5"/>
      <c r="H946" s="19"/>
    </row>
    <row r="947">
      <c r="A947" s="44"/>
      <c r="C947" s="61"/>
      <c r="E947" s="19"/>
      <c r="F947" s="5"/>
      <c r="H947" s="19"/>
    </row>
    <row r="948">
      <c r="A948" s="44"/>
      <c r="C948" s="61"/>
      <c r="E948" s="19"/>
      <c r="F948" s="5"/>
      <c r="H948" s="19"/>
    </row>
    <row r="949">
      <c r="A949" s="44"/>
      <c r="C949" s="61"/>
      <c r="E949" s="19"/>
      <c r="F949" s="5"/>
      <c r="H949" s="19"/>
    </row>
    <row r="950">
      <c r="A950" s="44"/>
      <c r="C950" s="61"/>
      <c r="E950" s="19"/>
      <c r="F950" s="5"/>
      <c r="H950" s="19"/>
    </row>
    <row r="951">
      <c r="A951" s="44"/>
      <c r="C951" s="61"/>
      <c r="E951" s="19"/>
      <c r="F951" s="5"/>
      <c r="H951" s="19"/>
    </row>
    <row r="952">
      <c r="A952" s="44"/>
      <c r="C952" s="61"/>
      <c r="E952" s="19"/>
      <c r="F952" s="5"/>
      <c r="H952" s="19"/>
    </row>
    <row r="953">
      <c r="A953" s="44"/>
      <c r="C953" s="61"/>
      <c r="E953" s="19"/>
      <c r="F953" s="5"/>
      <c r="H953" s="19"/>
    </row>
    <row r="954">
      <c r="A954" s="44"/>
      <c r="C954" s="61"/>
      <c r="E954" s="19"/>
      <c r="F954" s="5"/>
      <c r="H954" s="19"/>
    </row>
    <row r="955">
      <c r="A955" s="44"/>
      <c r="C955" s="61"/>
      <c r="E955" s="19"/>
      <c r="F955" s="5"/>
      <c r="H955" s="19"/>
    </row>
    <row r="956">
      <c r="A956" s="44"/>
      <c r="C956" s="61"/>
      <c r="E956" s="19"/>
      <c r="F956" s="5"/>
      <c r="H956" s="19"/>
    </row>
    <row r="957">
      <c r="A957" s="44"/>
      <c r="C957" s="61"/>
      <c r="E957" s="19"/>
      <c r="F957" s="5"/>
      <c r="H957" s="19"/>
    </row>
    <row r="958">
      <c r="A958" s="44"/>
      <c r="C958" s="61"/>
      <c r="E958" s="19"/>
      <c r="F958" s="5"/>
      <c r="H958" s="19"/>
    </row>
    <row r="959">
      <c r="A959" s="44"/>
      <c r="C959" s="61"/>
      <c r="E959" s="19"/>
      <c r="F959" s="5"/>
      <c r="H959" s="19"/>
    </row>
    <row r="960">
      <c r="A960" s="44"/>
      <c r="C960" s="61"/>
      <c r="E960" s="19"/>
      <c r="F960" s="5"/>
      <c r="H960" s="19"/>
    </row>
    <row r="961">
      <c r="A961" s="44"/>
      <c r="C961" s="61"/>
      <c r="E961" s="19"/>
      <c r="F961" s="5"/>
      <c r="H961" s="19"/>
    </row>
    <row r="962">
      <c r="A962" s="44"/>
      <c r="C962" s="61"/>
      <c r="E962" s="19"/>
      <c r="F962" s="5"/>
      <c r="H962" s="19"/>
    </row>
    <row r="963">
      <c r="A963" s="44"/>
      <c r="C963" s="61"/>
      <c r="E963" s="19"/>
      <c r="F963" s="5"/>
      <c r="H963" s="19"/>
    </row>
    <row r="964">
      <c r="A964" s="44"/>
      <c r="C964" s="61"/>
      <c r="E964" s="19"/>
      <c r="F964" s="5"/>
      <c r="H964" s="19"/>
    </row>
    <row r="965">
      <c r="A965" s="44"/>
      <c r="C965" s="61"/>
      <c r="E965" s="19"/>
      <c r="F965" s="5"/>
      <c r="H965" s="19"/>
    </row>
    <row r="966">
      <c r="A966" s="44"/>
      <c r="C966" s="61"/>
      <c r="E966" s="19"/>
      <c r="F966" s="5"/>
      <c r="H966" s="19"/>
    </row>
    <row r="967">
      <c r="A967" s="44"/>
      <c r="C967" s="61"/>
      <c r="E967" s="19"/>
      <c r="F967" s="5"/>
      <c r="H967" s="19"/>
    </row>
    <row r="968">
      <c r="A968" s="44"/>
      <c r="C968" s="61"/>
      <c r="E968" s="19"/>
      <c r="F968" s="5"/>
      <c r="H968" s="19"/>
    </row>
    <row r="969">
      <c r="A969" s="44"/>
      <c r="C969" s="61"/>
      <c r="E969" s="19"/>
      <c r="F969" s="5"/>
      <c r="H969" s="19"/>
    </row>
    <row r="970">
      <c r="A970" s="44"/>
      <c r="C970" s="61"/>
      <c r="E970" s="19"/>
      <c r="F970" s="5"/>
      <c r="H970" s="19"/>
    </row>
    <row r="971">
      <c r="A971" s="44"/>
      <c r="C971" s="61"/>
      <c r="E971" s="19"/>
      <c r="F971" s="5"/>
      <c r="H971" s="19"/>
    </row>
    <row r="972">
      <c r="A972" s="44"/>
      <c r="C972" s="61"/>
      <c r="E972" s="19"/>
      <c r="F972" s="5"/>
      <c r="H972" s="19"/>
    </row>
    <row r="973">
      <c r="A973" s="44"/>
      <c r="C973" s="61"/>
      <c r="E973" s="19"/>
      <c r="F973" s="5"/>
      <c r="H973" s="19"/>
    </row>
    <row r="974">
      <c r="A974" s="44"/>
      <c r="C974" s="61"/>
      <c r="E974" s="19"/>
      <c r="F974" s="5"/>
      <c r="H974" s="19"/>
    </row>
    <row r="975">
      <c r="A975" s="44"/>
      <c r="C975" s="61"/>
      <c r="E975" s="19"/>
      <c r="F975" s="5"/>
      <c r="H975" s="19"/>
    </row>
    <row r="976">
      <c r="A976" s="44"/>
      <c r="C976" s="61"/>
      <c r="E976" s="19"/>
      <c r="F976" s="5"/>
      <c r="H976" s="19"/>
    </row>
    <row r="977">
      <c r="A977" s="44"/>
      <c r="C977" s="61"/>
      <c r="E977" s="19"/>
      <c r="F977" s="5"/>
      <c r="H977" s="19"/>
    </row>
    <row r="978">
      <c r="A978" s="44"/>
      <c r="C978" s="61"/>
      <c r="E978" s="19"/>
      <c r="F978" s="5"/>
      <c r="H978" s="19"/>
    </row>
    <row r="979">
      <c r="A979" s="44"/>
      <c r="C979" s="61"/>
      <c r="E979" s="19"/>
      <c r="F979" s="5"/>
      <c r="H979" s="19"/>
    </row>
    <row r="980">
      <c r="A980" s="44"/>
      <c r="C980" s="61"/>
      <c r="E980" s="19"/>
      <c r="F980" s="5"/>
      <c r="H980" s="19"/>
    </row>
    <row r="981">
      <c r="A981" s="44"/>
      <c r="C981" s="61"/>
      <c r="E981" s="19"/>
      <c r="F981" s="5"/>
      <c r="H981" s="19"/>
    </row>
    <row r="982">
      <c r="A982" s="44"/>
      <c r="C982" s="61"/>
      <c r="E982" s="19"/>
      <c r="F982" s="5"/>
      <c r="H982" s="19"/>
    </row>
    <row r="983">
      <c r="A983" s="44"/>
      <c r="C983" s="61"/>
      <c r="E983" s="19"/>
      <c r="F983" s="5"/>
      <c r="H983" s="19"/>
    </row>
    <row r="984">
      <c r="A984" s="44"/>
      <c r="C984" s="61"/>
      <c r="E984" s="19"/>
      <c r="F984" s="5"/>
      <c r="H984" s="19"/>
    </row>
    <row r="985">
      <c r="A985" s="44"/>
      <c r="C985" s="61"/>
      <c r="E985" s="19"/>
      <c r="F985" s="5"/>
      <c r="H985" s="19"/>
    </row>
    <row r="986">
      <c r="A986" s="44"/>
      <c r="C986" s="61"/>
      <c r="E986" s="19"/>
      <c r="F986" s="5"/>
      <c r="H986" s="19"/>
    </row>
    <row r="987">
      <c r="A987" s="44"/>
      <c r="C987" s="61"/>
      <c r="E987" s="19"/>
      <c r="F987" s="5"/>
      <c r="H987" s="19"/>
    </row>
    <row r="988">
      <c r="A988" s="44"/>
      <c r="C988" s="61"/>
      <c r="E988" s="19"/>
      <c r="F988" s="5"/>
      <c r="H988" s="19"/>
    </row>
    <row r="989">
      <c r="A989" s="44"/>
      <c r="C989" s="61"/>
      <c r="E989" s="19"/>
      <c r="F989" s="5"/>
      <c r="H989" s="19"/>
    </row>
    <row r="990">
      <c r="A990" s="44"/>
      <c r="C990" s="61"/>
      <c r="E990" s="19"/>
      <c r="F990" s="5"/>
      <c r="H990" s="19"/>
    </row>
    <row r="991">
      <c r="A991" s="44"/>
      <c r="C991" s="61"/>
      <c r="E991" s="19"/>
      <c r="F991" s="5"/>
      <c r="H991" s="19"/>
    </row>
    <row r="992">
      <c r="A992" s="44"/>
      <c r="C992" s="61"/>
      <c r="E992" s="19"/>
      <c r="F992" s="5"/>
      <c r="H992" s="19"/>
    </row>
    <row r="993">
      <c r="A993" s="44"/>
      <c r="C993" s="61"/>
      <c r="E993" s="19"/>
      <c r="F993" s="5"/>
      <c r="H993" s="19"/>
    </row>
    <row r="994">
      <c r="A994" s="44"/>
      <c r="C994" s="61"/>
      <c r="E994" s="19"/>
      <c r="F994" s="5"/>
      <c r="H994" s="19"/>
    </row>
    <row r="995">
      <c r="A995" s="44"/>
      <c r="C995" s="61"/>
      <c r="E995" s="19"/>
      <c r="F995" s="5"/>
      <c r="H995" s="19"/>
    </row>
    <row r="996">
      <c r="A996" s="44"/>
      <c r="C996" s="61"/>
      <c r="E996" s="19"/>
      <c r="F996" s="5"/>
      <c r="H996" s="19"/>
    </row>
    <row r="997">
      <c r="A997" s="44"/>
      <c r="C997" s="61"/>
      <c r="E997" s="19"/>
      <c r="F997" s="5"/>
      <c r="H997" s="19"/>
    </row>
    <row r="998">
      <c r="A998" s="44"/>
      <c r="C998" s="61"/>
      <c r="E998" s="19"/>
      <c r="F998" s="5"/>
      <c r="H998" s="19"/>
    </row>
    <row r="999">
      <c r="A999" s="44"/>
      <c r="C999" s="61"/>
      <c r="E999" s="19"/>
      <c r="F999" s="5"/>
      <c r="H999" s="19"/>
    </row>
    <row r="1000">
      <c r="A1000" s="39"/>
      <c r="C1000" s="61"/>
      <c r="E1000" s="19"/>
      <c r="F1000" s="5"/>
      <c r="H1000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0">
    <cfRule type="cellIs" dxfId="3" priority="3" operator="greaterThan">
      <formula>0</formula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42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250.67</v>
      </c>
      <c r="H1" s="1" t="s">
        <v>46</v>
      </c>
      <c r="I1" s="5">
        <f>I5-I6</f>
        <v>-131.58</v>
      </c>
      <c r="J1" s="19"/>
      <c r="K1" s="1" t="s">
        <v>47</v>
      </c>
      <c r="L1" s="5">
        <f t="shared" ref="L1:L4" si="1">SUMIF(B:B,K1,C:I)</f>
        <v>58.05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44805.0</v>
      </c>
      <c r="B2" s="4" t="s">
        <v>532</v>
      </c>
      <c r="C2" s="21">
        <v>3.65</v>
      </c>
      <c r="E2" s="1" t="s">
        <v>52</v>
      </c>
      <c r="F2" s="5">
        <f>SUMIF(B:B,"Deliveroo",C:C)+SUMIF(B:B,"Just eat",C:C)+SUMIF(B:B,"Uber eats",C:C)+SUMIF(B:B,E2,C:C)</f>
        <v>94.93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35.64</v>
      </c>
      <c r="N2" s="39">
        <v>44805.0</v>
      </c>
      <c r="O2" s="40">
        <f t="shared" ref="O2:O31" si="2">sumif(A:A,N2,C:C)</f>
        <v>62.05</v>
      </c>
      <c r="P2" s="40">
        <f>SUM(O2)</f>
        <v>62.05</v>
      </c>
    </row>
    <row r="3">
      <c r="A3" s="39">
        <v>44805.0</v>
      </c>
      <c r="B3" s="4" t="s">
        <v>140</v>
      </c>
      <c r="C3" s="21">
        <v>13.2</v>
      </c>
      <c r="E3" s="1" t="s">
        <v>209</v>
      </c>
      <c r="F3" s="5">
        <f>SUMIF(B:B,"Pret",C:C)+SUMIF(B:B,"Breakfast",C:C)</f>
        <v>14.6</v>
      </c>
      <c r="H3" s="1" t="s">
        <v>8</v>
      </c>
      <c r="I3" s="5">
        <f>SUMIF(B:B,H3,C:C)+I1</f>
        <v>-131.58</v>
      </c>
      <c r="K3" s="1" t="s">
        <v>56</v>
      </c>
      <c r="L3" s="5">
        <f t="shared" si="1"/>
        <v>14.55</v>
      </c>
      <c r="N3" s="39">
        <v>44806.0</v>
      </c>
      <c r="O3" s="40">
        <f t="shared" si="2"/>
        <v>40.05</v>
      </c>
      <c r="P3" s="40">
        <f t="shared" ref="P3:P31" si="3">P2+O3</f>
        <v>102.1</v>
      </c>
    </row>
    <row r="4">
      <c r="A4" s="39">
        <v>44805.0</v>
      </c>
      <c r="B4" s="4" t="s">
        <v>127</v>
      </c>
      <c r="C4" s="21">
        <v>7.7</v>
      </c>
      <c r="E4" s="1" t="s">
        <v>140</v>
      </c>
      <c r="F4" s="5">
        <f>SUMIF(B:B,E4,C:C)</f>
        <v>68.3</v>
      </c>
      <c r="K4" s="1" t="s">
        <v>59</v>
      </c>
      <c r="L4" s="5">
        <f t="shared" si="1"/>
        <v>95.23</v>
      </c>
      <c r="N4" s="39">
        <v>44807.0</v>
      </c>
      <c r="O4" s="40">
        <f t="shared" si="2"/>
        <v>23.64</v>
      </c>
      <c r="P4" s="40">
        <f t="shared" si="3"/>
        <v>125.74</v>
      </c>
    </row>
    <row r="5">
      <c r="A5" s="39">
        <v>44805.0</v>
      </c>
      <c r="B5" s="4" t="s">
        <v>45</v>
      </c>
      <c r="C5" s="21">
        <v>9.1</v>
      </c>
      <c r="E5" s="1" t="s">
        <v>57</v>
      </c>
      <c r="F5" s="5">
        <f>sum(L:L)</f>
        <v>203.47</v>
      </c>
      <c r="H5" s="1" t="s">
        <v>65</v>
      </c>
      <c r="I5" s="58">
        <v>2448.06</v>
      </c>
      <c r="N5" s="39">
        <v>44808.0</v>
      </c>
      <c r="O5" s="40">
        <f t="shared" si="2"/>
        <v>46.65</v>
      </c>
      <c r="P5" s="40">
        <f t="shared" si="3"/>
        <v>172.39</v>
      </c>
    </row>
    <row r="6">
      <c r="A6" s="39">
        <v>44805.0</v>
      </c>
      <c r="B6" s="4" t="s">
        <v>45</v>
      </c>
      <c r="C6" s="21">
        <v>6.0</v>
      </c>
      <c r="E6" s="42" t="s">
        <v>61</v>
      </c>
      <c r="F6" s="5">
        <f>SUMIF(B:B,"Games",C:C)+SUMIF(B:B,"Spotify",C:C)+SUMIF(B:B,"Disney+",C:C)+SUMIF(B:B,"Book",C:C)+SUMIF(B:B,"Audible",C:C)</f>
        <v>19.98</v>
      </c>
      <c r="H6" s="1" t="s">
        <v>68</v>
      </c>
      <c r="I6" s="5">
        <f>sum(C:C)</f>
        <v>2579.64</v>
      </c>
      <c r="N6" s="39">
        <v>44809.0</v>
      </c>
      <c r="O6" s="40">
        <f t="shared" si="2"/>
        <v>19.69</v>
      </c>
      <c r="P6" s="40">
        <f t="shared" si="3"/>
        <v>192.08</v>
      </c>
    </row>
    <row r="7">
      <c r="A7" s="39">
        <v>44805.0</v>
      </c>
      <c r="B7" s="4" t="s">
        <v>45</v>
      </c>
      <c r="C7" s="21">
        <v>10.2</v>
      </c>
      <c r="E7" s="1" t="s">
        <v>64</v>
      </c>
      <c r="F7" s="5">
        <f>SUMIF(B:B,E7,C:C)+SUMIF(B:B,"Shoes",C:C)</f>
        <v>15.15</v>
      </c>
      <c r="H7" s="1" t="s">
        <v>72</v>
      </c>
      <c r="I7" s="5">
        <f>sum(F:F)+I2</f>
        <v>2323.66</v>
      </c>
      <c r="N7" s="39">
        <v>44810.0</v>
      </c>
      <c r="O7" s="40">
        <f t="shared" si="2"/>
        <v>127.45</v>
      </c>
      <c r="P7" s="40">
        <f t="shared" si="3"/>
        <v>319.53</v>
      </c>
    </row>
    <row r="8">
      <c r="A8" s="39">
        <v>44805.0</v>
      </c>
      <c r="B8" s="4" t="s">
        <v>45</v>
      </c>
      <c r="C8" s="21">
        <v>12.2</v>
      </c>
      <c r="E8" s="1" t="s">
        <v>54</v>
      </c>
      <c r="F8" s="5">
        <f>SUMIF(B:B,E8,C:C)+SUMIF(B:B,"Gym",C:C)+SUMIF(B:B,"Phone",C:C)</f>
        <v>1139.99</v>
      </c>
      <c r="H8" s="1" t="s">
        <v>74</v>
      </c>
      <c r="I8" s="5">
        <f>I6-I7</f>
        <v>255.98</v>
      </c>
      <c r="N8" s="39">
        <v>44811.0</v>
      </c>
      <c r="O8" s="40">
        <f t="shared" si="2"/>
        <v>7.36</v>
      </c>
      <c r="P8" s="40">
        <f t="shared" si="3"/>
        <v>326.89</v>
      </c>
    </row>
    <row r="9">
      <c r="A9" s="39">
        <v>44806.0</v>
      </c>
      <c r="B9" s="4" t="s">
        <v>127</v>
      </c>
      <c r="C9" s="21">
        <v>6.4</v>
      </c>
      <c r="E9" s="1" t="s">
        <v>253</v>
      </c>
      <c r="F9" s="5">
        <f t="shared" ref="F9:F10" si="4">SUMIF(B:B,E9,C:C)</f>
        <v>49</v>
      </c>
      <c r="H9" s="1" t="s">
        <v>539</v>
      </c>
      <c r="I9" s="5">
        <f>sum(C:C)-(F8+I2+I3)</f>
        <v>1321.23</v>
      </c>
      <c r="N9" s="39">
        <v>44812.0</v>
      </c>
      <c r="O9" s="40">
        <f t="shared" si="2"/>
        <v>79.98</v>
      </c>
      <c r="P9" s="40">
        <f t="shared" si="3"/>
        <v>406.87</v>
      </c>
    </row>
    <row r="10">
      <c r="A10" s="39">
        <v>44806.0</v>
      </c>
      <c r="B10" s="4" t="s">
        <v>59</v>
      </c>
      <c r="C10" s="21">
        <v>25.97</v>
      </c>
      <c r="E10" s="1" t="s">
        <v>127</v>
      </c>
      <c r="F10" s="5">
        <f t="shared" si="4"/>
        <v>81.4</v>
      </c>
      <c r="N10" s="39">
        <v>44813.0</v>
      </c>
      <c r="O10" s="40">
        <f t="shared" si="2"/>
        <v>76.12</v>
      </c>
      <c r="P10" s="40">
        <f t="shared" si="3"/>
        <v>482.99</v>
      </c>
    </row>
    <row r="11">
      <c r="A11" s="39">
        <v>44806.0</v>
      </c>
      <c r="B11" s="4" t="s">
        <v>53</v>
      </c>
      <c r="C11" s="21">
        <v>7.68</v>
      </c>
      <c r="E11" s="1" t="s">
        <v>252</v>
      </c>
      <c r="F11" s="5">
        <f>SUMIF(B:B,"Phone",C:C)</f>
        <v>35.99</v>
      </c>
      <c r="N11" s="39">
        <v>44814.0</v>
      </c>
      <c r="O11" s="40">
        <f t="shared" si="2"/>
        <v>34.95</v>
      </c>
      <c r="P11" s="40">
        <f t="shared" si="3"/>
        <v>517.94</v>
      </c>
    </row>
    <row r="12">
      <c r="A12" s="39">
        <v>44807.0</v>
      </c>
      <c r="B12" s="4" t="s">
        <v>512</v>
      </c>
      <c r="C12" s="21">
        <v>2.69</v>
      </c>
      <c r="E12" s="1" t="s">
        <v>164</v>
      </c>
      <c r="F12" s="62">
        <f>SUMIF(B:B,"Cigs",C:C)</f>
        <v>44.8</v>
      </c>
      <c r="N12" s="39">
        <v>44815.0</v>
      </c>
      <c r="O12" s="40">
        <f t="shared" si="2"/>
        <v>9.03</v>
      </c>
      <c r="P12" s="40">
        <f t="shared" si="3"/>
        <v>526.97</v>
      </c>
    </row>
    <row r="13">
      <c r="A13" s="39">
        <v>44807.0</v>
      </c>
      <c r="B13" s="4" t="s">
        <v>45</v>
      </c>
      <c r="C13" s="21">
        <v>11.5</v>
      </c>
      <c r="E13" s="1" t="s">
        <v>73</v>
      </c>
      <c r="F13" s="5">
        <f>SUMIF(B:B,"Uber",C:C)</f>
        <v>55.38</v>
      </c>
      <c r="N13" s="39">
        <v>44816.0</v>
      </c>
      <c r="O13" s="40">
        <f t="shared" si="2"/>
        <v>27.12</v>
      </c>
      <c r="P13" s="40">
        <f t="shared" si="3"/>
        <v>554.09</v>
      </c>
    </row>
    <row r="14">
      <c r="A14" s="39">
        <v>44807.0</v>
      </c>
      <c r="B14" s="4" t="s">
        <v>45</v>
      </c>
      <c r="C14" s="21">
        <v>5.35</v>
      </c>
      <c r="H14" s="19"/>
      <c r="N14" s="39">
        <v>44817.0</v>
      </c>
      <c r="O14" s="40">
        <f t="shared" si="2"/>
        <v>6.92</v>
      </c>
      <c r="P14" s="40">
        <f t="shared" si="3"/>
        <v>561.01</v>
      </c>
    </row>
    <row r="15">
      <c r="A15" s="39">
        <v>44807.0</v>
      </c>
      <c r="B15" s="4" t="s">
        <v>52</v>
      </c>
      <c r="C15" s="21">
        <v>4.1</v>
      </c>
      <c r="H15" s="19"/>
      <c r="N15" s="39">
        <v>44818.0</v>
      </c>
      <c r="O15" s="40">
        <f t="shared" si="2"/>
        <v>34.82</v>
      </c>
      <c r="P15" s="40">
        <f t="shared" si="3"/>
        <v>595.83</v>
      </c>
    </row>
    <row r="16">
      <c r="A16" s="39">
        <v>44808.0</v>
      </c>
      <c r="B16" s="4" t="s">
        <v>73</v>
      </c>
      <c r="C16" s="21">
        <v>14.35</v>
      </c>
      <c r="H16" s="19"/>
      <c r="N16" s="39">
        <v>44819.0</v>
      </c>
      <c r="O16" s="40">
        <f t="shared" si="2"/>
        <v>1089.2</v>
      </c>
      <c r="P16" s="40">
        <f t="shared" si="3"/>
        <v>1685.03</v>
      </c>
    </row>
    <row r="17">
      <c r="A17" s="39">
        <v>44808.0</v>
      </c>
      <c r="B17" s="4" t="s">
        <v>230</v>
      </c>
      <c r="C17" s="21">
        <v>9.99</v>
      </c>
      <c r="H17" s="19"/>
      <c r="N17" s="39">
        <v>44820.0</v>
      </c>
      <c r="O17" s="40">
        <f t="shared" si="2"/>
        <v>65.77</v>
      </c>
      <c r="P17" s="40">
        <f t="shared" si="3"/>
        <v>1750.8</v>
      </c>
    </row>
    <row r="18">
      <c r="A18" s="39">
        <v>44808.0</v>
      </c>
      <c r="B18" s="4" t="s">
        <v>127</v>
      </c>
      <c r="C18" s="21">
        <v>2.9</v>
      </c>
      <c r="H18" s="19"/>
      <c r="N18" s="39">
        <v>44821.0</v>
      </c>
      <c r="O18" s="40">
        <f t="shared" si="2"/>
        <v>55.72</v>
      </c>
      <c r="P18" s="40">
        <f t="shared" si="3"/>
        <v>1806.52</v>
      </c>
    </row>
    <row r="19">
      <c r="A19" s="39">
        <v>44808.0</v>
      </c>
      <c r="B19" s="4" t="s">
        <v>127</v>
      </c>
      <c r="C19" s="21">
        <v>3.3</v>
      </c>
      <c r="H19" s="19"/>
      <c r="N19" s="39">
        <v>44822.0</v>
      </c>
      <c r="O19" s="40">
        <f t="shared" si="2"/>
        <v>40.39</v>
      </c>
      <c r="P19" s="40">
        <f t="shared" si="3"/>
        <v>1846.91</v>
      </c>
    </row>
    <row r="20">
      <c r="A20" s="39">
        <v>44808.0</v>
      </c>
      <c r="B20" s="4" t="s">
        <v>517</v>
      </c>
      <c r="C20" s="21">
        <v>16.11</v>
      </c>
      <c r="H20" s="19"/>
      <c r="N20" s="39">
        <v>44823.0</v>
      </c>
      <c r="O20" s="40">
        <f t="shared" si="2"/>
        <v>20.67</v>
      </c>
      <c r="P20" s="40">
        <f t="shared" si="3"/>
        <v>1867.58</v>
      </c>
    </row>
    <row r="21">
      <c r="A21" s="39">
        <v>44809.0</v>
      </c>
      <c r="B21" s="4" t="s">
        <v>140</v>
      </c>
      <c r="C21" s="21">
        <v>11.2</v>
      </c>
      <c r="E21" s="19"/>
      <c r="F21" s="5"/>
      <c r="H21" s="19"/>
      <c r="N21" s="39">
        <v>44824.0</v>
      </c>
      <c r="O21" s="40">
        <f t="shared" si="2"/>
        <v>11.78</v>
      </c>
      <c r="P21" s="40">
        <f t="shared" si="3"/>
        <v>1879.36</v>
      </c>
    </row>
    <row r="22">
      <c r="A22" s="39">
        <v>44809.0</v>
      </c>
      <c r="B22" s="4" t="s">
        <v>543</v>
      </c>
      <c r="C22" s="21">
        <v>1.49</v>
      </c>
      <c r="E22" s="19"/>
      <c r="F22" s="5"/>
      <c r="H22" s="19"/>
      <c r="N22" s="39">
        <v>44825.0</v>
      </c>
      <c r="O22" s="40">
        <f t="shared" si="2"/>
        <v>70.63</v>
      </c>
      <c r="P22" s="40">
        <f t="shared" si="3"/>
        <v>1949.99</v>
      </c>
    </row>
    <row r="23">
      <c r="A23" s="39">
        <v>44809.0</v>
      </c>
      <c r="B23" s="4" t="s">
        <v>512</v>
      </c>
      <c r="C23" s="21">
        <v>7.0</v>
      </c>
      <c r="E23" s="19"/>
      <c r="F23" s="5"/>
      <c r="H23" s="19"/>
      <c r="N23" s="39">
        <v>44826.0</v>
      </c>
      <c r="O23" s="40">
        <f t="shared" si="2"/>
        <v>356.78</v>
      </c>
      <c r="P23" s="40">
        <f t="shared" si="3"/>
        <v>2306.77</v>
      </c>
    </row>
    <row r="24">
      <c r="A24" s="39">
        <v>44810.0</v>
      </c>
      <c r="B24" s="4" t="s">
        <v>59</v>
      </c>
      <c r="C24" s="21">
        <v>7.76</v>
      </c>
      <c r="E24" s="19"/>
      <c r="F24" s="5"/>
      <c r="H24" s="19"/>
      <c r="N24" s="39">
        <v>44827.0</v>
      </c>
      <c r="O24" s="40">
        <f t="shared" si="2"/>
        <v>15.24</v>
      </c>
      <c r="P24" s="40">
        <f t="shared" si="3"/>
        <v>2322.01</v>
      </c>
    </row>
    <row r="25">
      <c r="A25" s="39">
        <v>44810.0</v>
      </c>
      <c r="B25" s="4" t="s">
        <v>127</v>
      </c>
      <c r="C25" s="21">
        <v>7.7</v>
      </c>
      <c r="E25" s="19"/>
      <c r="F25" s="5"/>
      <c r="H25" s="19"/>
      <c r="N25" s="39">
        <v>44828.0</v>
      </c>
      <c r="O25" s="40">
        <f t="shared" si="2"/>
        <v>14.45</v>
      </c>
      <c r="P25" s="40">
        <f t="shared" si="3"/>
        <v>2336.46</v>
      </c>
    </row>
    <row r="26">
      <c r="A26" s="39">
        <v>44810.0</v>
      </c>
      <c r="B26" s="4" t="s">
        <v>47</v>
      </c>
      <c r="C26" s="21">
        <v>13.34</v>
      </c>
      <c r="E26" s="19"/>
      <c r="F26" s="5"/>
      <c r="H26" s="19"/>
      <c r="N26" s="39">
        <v>44829.0</v>
      </c>
      <c r="O26" s="40">
        <f t="shared" si="2"/>
        <v>4.4</v>
      </c>
      <c r="P26" s="40">
        <f t="shared" si="3"/>
        <v>2340.86</v>
      </c>
    </row>
    <row r="27">
      <c r="A27" s="39">
        <v>44810.0</v>
      </c>
      <c r="B27" s="4" t="s">
        <v>541</v>
      </c>
      <c r="C27" s="21">
        <v>8.3</v>
      </c>
      <c r="E27" s="19"/>
      <c r="F27" s="5"/>
      <c r="H27" s="19"/>
      <c r="N27" s="39">
        <v>44830.0</v>
      </c>
      <c r="O27" s="40">
        <f t="shared" si="2"/>
        <v>198.14</v>
      </c>
      <c r="P27" s="40">
        <f t="shared" si="3"/>
        <v>2539</v>
      </c>
    </row>
    <row r="28">
      <c r="A28" s="39">
        <v>44810.0</v>
      </c>
      <c r="B28" s="4" t="s">
        <v>462</v>
      </c>
      <c r="C28" s="21">
        <v>38.35</v>
      </c>
      <c r="E28" s="19"/>
      <c r="F28" s="5"/>
      <c r="H28" s="19"/>
      <c r="N28" s="39">
        <v>44831.0</v>
      </c>
      <c r="O28" s="40">
        <f t="shared" si="2"/>
        <v>10.34</v>
      </c>
      <c r="P28" s="40">
        <f t="shared" si="3"/>
        <v>2549.34</v>
      </c>
    </row>
    <row r="29">
      <c r="A29" s="39">
        <v>44810.0</v>
      </c>
      <c r="B29" s="4" t="s">
        <v>451</v>
      </c>
      <c r="C29" s="21">
        <v>52.0</v>
      </c>
      <c r="E29" s="19"/>
      <c r="F29" s="5"/>
      <c r="H29" s="19"/>
      <c r="N29" s="39">
        <v>44832.0</v>
      </c>
      <c r="O29" s="40">
        <f t="shared" si="2"/>
        <v>20.41</v>
      </c>
      <c r="P29" s="40">
        <f t="shared" si="3"/>
        <v>2569.75</v>
      </c>
    </row>
    <row r="30">
      <c r="A30" s="39">
        <v>44811.0</v>
      </c>
      <c r="B30" s="4" t="s">
        <v>53</v>
      </c>
      <c r="C30" s="21">
        <v>7.36</v>
      </c>
      <c r="E30" s="19"/>
      <c r="F30" s="5"/>
      <c r="H30" s="19"/>
      <c r="N30" s="39">
        <v>44833.0</v>
      </c>
      <c r="O30" s="40">
        <f t="shared" si="2"/>
        <v>9.89</v>
      </c>
      <c r="P30" s="40">
        <f t="shared" si="3"/>
        <v>2579.64</v>
      </c>
    </row>
    <row r="31">
      <c r="A31" s="39">
        <v>44812.0</v>
      </c>
      <c r="B31" s="4" t="s">
        <v>532</v>
      </c>
      <c r="C31" s="21">
        <v>3.65</v>
      </c>
      <c r="E31" s="19"/>
      <c r="F31" s="5"/>
      <c r="H31" s="19"/>
      <c r="N31" s="39">
        <v>44834.0</v>
      </c>
      <c r="O31" s="40">
        <f t="shared" si="2"/>
        <v>0</v>
      </c>
      <c r="P31" s="40">
        <f t="shared" si="3"/>
        <v>2579.64</v>
      </c>
    </row>
    <row r="32">
      <c r="A32" s="39">
        <v>44812.0</v>
      </c>
      <c r="B32" s="4" t="s">
        <v>140</v>
      </c>
      <c r="C32" s="21">
        <v>11.1</v>
      </c>
      <c r="E32" s="19"/>
      <c r="F32" s="5"/>
      <c r="H32" s="19"/>
      <c r="N32" s="39"/>
    </row>
    <row r="33">
      <c r="A33" s="39">
        <v>44812.0</v>
      </c>
      <c r="B33" s="4" t="s">
        <v>56</v>
      </c>
      <c r="C33" s="21">
        <v>2.2</v>
      </c>
      <c r="E33" s="19"/>
      <c r="F33" s="5"/>
      <c r="H33" s="19"/>
      <c r="N33" s="39"/>
    </row>
    <row r="34">
      <c r="A34" s="39">
        <v>44812.0</v>
      </c>
      <c r="B34" s="4" t="s">
        <v>45</v>
      </c>
      <c r="C34" s="21">
        <v>6.3</v>
      </c>
      <c r="E34" s="19"/>
      <c r="F34" s="5"/>
      <c r="H34" s="19"/>
    </row>
    <row r="35">
      <c r="A35" s="39">
        <v>44812.0</v>
      </c>
      <c r="B35" s="4" t="s">
        <v>143</v>
      </c>
      <c r="C35" s="21">
        <v>1.5</v>
      </c>
      <c r="E35" s="19"/>
      <c r="F35" s="5"/>
      <c r="H35" s="19"/>
    </row>
    <row r="36">
      <c r="A36" s="39">
        <v>44812.0</v>
      </c>
      <c r="B36" s="4" t="s">
        <v>143</v>
      </c>
      <c r="C36" s="21">
        <v>1.5</v>
      </c>
      <c r="E36" s="19"/>
      <c r="F36" s="5"/>
      <c r="H36" s="19"/>
    </row>
    <row r="37">
      <c r="A37" s="39">
        <v>44812.0</v>
      </c>
      <c r="B37" s="4" t="s">
        <v>45</v>
      </c>
      <c r="C37" s="21">
        <v>16.95</v>
      </c>
      <c r="E37" s="19"/>
      <c r="F37" s="5"/>
      <c r="H37" s="19"/>
    </row>
    <row r="38">
      <c r="A38" s="39">
        <v>44812.0</v>
      </c>
      <c r="B38" s="4" t="s">
        <v>528</v>
      </c>
      <c r="C38" s="21">
        <v>30.98</v>
      </c>
      <c r="E38" s="19"/>
      <c r="F38" s="5"/>
      <c r="H38" s="19"/>
    </row>
    <row r="39">
      <c r="A39" s="39">
        <v>44812.0</v>
      </c>
      <c r="B39" s="4" t="s">
        <v>127</v>
      </c>
      <c r="C39" s="21">
        <v>5.8</v>
      </c>
      <c r="E39" s="19"/>
      <c r="F39" s="5"/>
      <c r="H39" s="19"/>
    </row>
    <row r="40">
      <c r="A40" s="39">
        <v>44813.0</v>
      </c>
      <c r="B40" s="4" t="s">
        <v>517</v>
      </c>
      <c r="C40" s="21">
        <v>12.74</v>
      </c>
      <c r="E40" s="19"/>
      <c r="F40" s="5"/>
      <c r="H40" s="19"/>
    </row>
    <row r="41">
      <c r="A41" s="39">
        <v>44813.0</v>
      </c>
      <c r="B41" s="4" t="s">
        <v>45</v>
      </c>
      <c r="C41" s="21">
        <v>24.0</v>
      </c>
      <c r="E41" s="19"/>
      <c r="F41" s="5"/>
      <c r="H41" s="19"/>
    </row>
    <row r="42">
      <c r="A42" s="39">
        <v>44813.0</v>
      </c>
      <c r="B42" s="4" t="s">
        <v>45</v>
      </c>
      <c r="C42" s="21">
        <v>39.38</v>
      </c>
      <c r="E42" s="19"/>
      <c r="F42" s="5"/>
      <c r="H42" s="19"/>
    </row>
    <row r="43">
      <c r="A43" s="39">
        <v>44814.0</v>
      </c>
      <c r="B43" s="4" t="s">
        <v>45</v>
      </c>
      <c r="C43" s="21">
        <v>18.28</v>
      </c>
      <c r="E43" s="19"/>
      <c r="F43" s="5"/>
      <c r="H43" s="19"/>
    </row>
    <row r="44">
      <c r="A44" s="39">
        <v>44814.0</v>
      </c>
      <c r="B44" s="4" t="s">
        <v>73</v>
      </c>
      <c r="C44" s="21">
        <v>8.97</v>
      </c>
      <c r="E44" s="19"/>
      <c r="F44" s="5"/>
      <c r="H44" s="19"/>
    </row>
    <row r="45">
      <c r="A45" s="39">
        <v>44814.0</v>
      </c>
      <c r="B45" s="4" t="s">
        <v>127</v>
      </c>
      <c r="C45" s="21">
        <v>7.7</v>
      </c>
      <c r="E45" s="19"/>
      <c r="F45" s="5"/>
      <c r="H45" s="19"/>
    </row>
    <row r="46">
      <c r="A46" s="39">
        <v>44815.0</v>
      </c>
      <c r="B46" s="4" t="s">
        <v>73</v>
      </c>
      <c r="C46" s="21">
        <v>9.03</v>
      </c>
      <c r="E46" s="19"/>
      <c r="F46" s="5"/>
      <c r="H46" s="19"/>
    </row>
    <row r="47">
      <c r="A47" s="39">
        <v>44816.0</v>
      </c>
      <c r="B47" s="4" t="s">
        <v>59</v>
      </c>
      <c r="C47" s="21">
        <f>32.92-7.5</f>
        <v>25.42</v>
      </c>
      <c r="E47" s="19"/>
      <c r="F47" s="5"/>
      <c r="H47" s="19"/>
    </row>
    <row r="48">
      <c r="A48" s="39">
        <v>44816.0</v>
      </c>
      <c r="B48" s="4" t="s">
        <v>127</v>
      </c>
      <c r="C48" s="21">
        <v>1.7</v>
      </c>
      <c r="E48" s="19"/>
      <c r="F48" s="5"/>
      <c r="H48" s="19"/>
    </row>
    <row r="49">
      <c r="A49" s="39">
        <v>44817.0</v>
      </c>
      <c r="B49" s="4" t="s">
        <v>53</v>
      </c>
      <c r="C49" s="21">
        <v>3.33</v>
      </c>
      <c r="E49" s="19"/>
      <c r="F49" s="5"/>
      <c r="H49" s="19"/>
    </row>
    <row r="50">
      <c r="A50" s="39">
        <v>44817.0</v>
      </c>
      <c r="B50" s="4" t="s">
        <v>53</v>
      </c>
      <c r="C50" s="21">
        <v>2.19</v>
      </c>
      <c r="E50" s="19"/>
      <c r="F50" s="5"/>
      <c r="H50" s="19"/>
    </row>
    <row r="51">
      <c r="A51" s="39">
        <v>44817.0</v>
      </c>
      <c r="B51" s="4" t="s">
        <v>47</v>
      </c>
      <c r="C51" s="21">
        <v>1.4</v>
      </c>
      <c r="E51" s="19"/>
      <c r="F51" s="5"/>
      <c r="H51" s="19"/>
    </row>
    <row r="52">
      <c r="A52" s="39">
        <v>44818.0</v>
      </c>
      <c r="B52" s="4" t="s">
        <v>532</v>
      </c>
      <c r="C52" s="21">
        <v>3.65</v>
      </c>
      <c r="E52" s="19"/>
      <c r="F52" s="5"/>
      <c r="H52" s="19"/>
    </row>
    <row r="53">
      <c r="A53" s="39">
        <v>44818.0</v>
      </c>
      <c r="B53" s="4" t="s">
        <v>140</v>
      </c>
      <c r="C53" s="21">
        <v>12.0</v>
      </c>
      <c r="E53" s="19"/>
      <c r="F53" s="5"/>
      <c r="H53" s="19"/>
    </row>
    <row r="54">
      <c r="A54" s="39">
        <v>44818.0</v>
      </c>
      <c r="B54" s="4" t="s">
        <v>45</v>
      </c>
      <c r="C54" s="21">
        <v>10.17</v>
      </c>
      <c r="E54" s="19"/>
      <c r="F54" s="5"/>
      <c r="H54" s="19"/>
    </row>
    <row r="55">
      <c r="A55" s="39">
        <v>44818.0</v>
      </c>
      <c r="B55" s="4" t="s">
        <v>45</v>
      </c>
      <c r="C55" s="21">
        <v>5.0</v>
      </c>
      <c r="E55" s="19"/>
      <c r="F55" s="5"/>
      <c r="H55" s="19"/>
    </row>
    <row r="56">
      <c r="A56" s="39">
        <v>44818.0</v>
      </c>
      <c r="B56" s="4" t="s">
        <v>59</v>
      </c>
      <c r="C56" s="21">
        <v>4.0</v>
      </c>
      <c r="E56" s="19"/>
      <c r="F56" s="5"/>
      <c r="H56" s="19"/>
    </row>
    <row r="57">
      <c r="A57" s="39">
        <v>44819.0</v>
      </c>
      <c r="B57" s="4" t="s">
        <v>127</v>
      </c>
      <c r="C57" s="21">
        <v>7.7</v>
      </c>
      <c r="E57" s="19"/>
      <c r="F57" s="5"/>
      <c r="H57" s="19"/>
    </row>
    <row r="58">
      <c r="A58" s="39">
        <v>44819.0</v>
      </c>
      <c r="B58" s="4" t="s">
        <v>56</v>
      </c>
      <c r="C58" s="21">
        <v>1.5</v>
      </c>
      <c r="E58" s="19"/>
      <c r="F58" s="5"/>
      <c r="H58" s="19"/>
    </row>
    <row r="59">
      <c r="A59" s="39">
        <v>44819.0</v>
      </c>
      <c r="B59" s="4" t="s">
        <v>462</v>
      </c>
      <c r="C59" s="21">
        <v>25.0</v>
      </c>
      <c r="E59" s="19"/>
      <c r="F59" s="5"/>
      <c r="H59" s="19"/>
    </row>
    <row r="60">
      <c r="A60" s="39">
        <v>44819.0</v>
      </c>
      <c r="B60" s="4" t="s">
        <v>54</v>
      </c>
      <c r="C60" s="41">
        <v>1055.0</v>
      </c>
      <c r="E60" s="19"/>
      <c r="F60" s="5"/>
      <c r="H60" s="19"/>
    </row>
    <row r="61">
      <c r="A61" s="39">
        <v>44820.0</v>
      </c>
      <c r="B61" s="4" t="s">
        <v>140</v>
      </c>
      <c r="C61" s="21">
        <v>10.9</v>
      </c>
      <c r="E61" s="19"/>
      <c r="F61" s="5"/>
      <c r="H61" s="19"/>
    </row>
    <row r="62">
      <c r="A62" s="39">
        <v>44820.0</v>
      </c>
      <c r="B62" s="4" t="s">
        <v>59</v>
      </c>
      <c r="C62" s="21">
        <v>11.67</v>
      </c>
      <c r="E62" s="19"/>
      <c r="F62" s="5"/>
      <c r="H62" s="19"/>
    </row>
    <row r="63">
      <c r="A63" s="39">
        <v>44820.0</v>
      </c>
      <c r="B63" s="4" t="s">
        <v>45</v>
      </c>
      <c r="C63" s="21">
        <v>6.45</v>
      </c>
      <c r="E63" s="19"/>
      <c r="F63" s="5"/>
      <c r="H63" s="19"/>
    </row>
    <row r="64">
      <c r="A64" s="39">
        <v>44820.0</v>
      </c>
      <c r="B64" s="4" t="s">
        <v>47</v>
      </c>
      <c r="C64" s="21">
        <v>12.75</v>
      </c>
      <c r="E64" s="19"/>
      <c r="F64" s="5"/>
      <c r="H64" s="19"/>
    </row>
    <row r="65">
      <c r="A65" s="39">
        <v>44820.0</v>
      </c>
      <c r="B65" s="4" t="s">
        <v>164</v>
      </c>
      <c r="C65" s="21">
        <v>24.0</v>
      </c>
      <c r="E65" s="19"/>
      <c r="F65" s="5"/>
      <c r="H65" s="19"/>
    </row>
    <row r="66">
      <c r="A66" s="39">
        <v>44821.0</v>
      </c>
      <c r="B66" s="4" t="s">
        <v>127</v>
      </c>
      <c r="C66" s="21">
        <v>6.4</v>
      </c>
      <c r="E66" s="19"/>
      <c r="F66" s="5"/>
      <c r="H66" s="19"/>
    </row>
    <row r="67">
      <c r="A67" s="39">
        <v>44821.0</v>
      </c>
      <c r="B67" s="4" t="s">
        <v>73</v>
      </c>
      <c r="C67" s="21">
        <v>6.48</v>
      </c>
      <c r="E67" s="19"/>
      <c r="F67" s="5"/>
      <c r="H67" s="19"/>
    </row>
    <row r="68">
      <c r="A68" s="39">
        <v>44821.0</v>
      </c>
      <c r="B68" s="4" t="s">
        <v>73</v>
      </c>
      <c r="C68" s="21">
        <v>16.55</v>
      </c>
      <c r="E68" s="19"/>
      <c r="F68" s="5"/>
      <c r="H68" s="19"/>
    </row>
    <row r="69">
      <c r="A69" s="39">
        <v>44821.0</v>
      </c>
      <c r="B69" s="4" t="s">
        <v>127</v>
      </c>
      <c r="C69" s="21">
        <v>3.2</v>
      </c>
      <c r="E69" s="19"/>
      <c r="F69" s="5"/>
      <c r="H69" s="19"/>
    </row>
    <row r="70">
      <c r="A70" s="39">
        <v>44821.0</v>
      </c>
      <c r="B70" s="4" t="s">
        <v>45</v>
      </c>
      <c r="C70" s="21">
        <v>13.3</v>
      </c>
      <c r="E70" s="19"/>
      <c r="F70" s="5"/>
      <c r="H70" s="19"/>
    </row>
    <row r="71">
      <c r="A71" s="39">
        <v>44821.0</v>
      </c>
      <c r="B71" s="4" t="s">
        <v>517</v>
      </c>
      <c r="C71" s="21">
        <v>9.79</v>
      </c>
      <c r="E71" s="19"/>
      <c r="F71" s="5"/>
      <c r="H71" s="19"/>
    </row>
    <row r="72">
      <c r="A72" s="39">
        <v>44822.0</v>
      </c>
      <c r="B72" s="4" t="s">
        <v>45</v>
      </c>
      <c r="C72" s="21">
        <f>25.82+3.7</f>
        <v>29.52</v>
      </c>
      <c r="E72" s="19"/>
      <c r="F72" s="5"/>
      <c r="H72" s="19"/>
    </row>
    <row r="73">
      <c r="A73" s="39">
        <v>44822.0</v>
      </c>
      <c r="B73" s="4" t="s">
        <v>517</v>
      </c>
      <c r="C73" s="21">
        <v>10.87</v>
      </c>
      <c r="E73" s="19"/>
      <c r="F73" s="5"/>
      <c r="H73" s="19"/>
    </row>
    <row r="74">
      <c r="A74" s="39">
        <v>44823.0</v>
      </c>
      <c r="B74" s="4" t="s">
        <v>47</v>
      </c>
      <c r="C74" s="21">
        <v>19.07</v>
      </c>
      <c r="E74" s="19"/>
      <c r="F74" s="5"/>
      <c r="H74" s="19"/>
    </row>
    <row r="75">
      <c r="A75" s="39">
        <v>44823.0</v>
      </c>
      <c r="B75" s="4" t="s">
        <v>127</v>
      </c>
      <c r="C75" s="21">
        <v>1.6</v>
      </c>
      <c r="E75" s="19"/>
      <c r="F75" s="5"/>
      <c r="H75" s="19"/>
    </row>
    <row r="76">
      <c r="A76" s="39">
        <v>44824.0</v>
      </c>
      <c r="B76" s="4" t="s">
        <v>53</v>
      </c>
      <c r="C76" s="21">
        <v>1.79</v>
      </c>
      <c r="E76" s="19"/>
      <c r="F76" s="5"/>
      <c r="H76" s="19"/>
    </row>
    <row r="77">
      <c r="A77" s="39">
        <v>44824.0</v>
      </c>
      <c r="B77" s="4" t="s">
        <v>497</v>
      </c>
      <c r="C77" s="21">
        <v>9.99</v>
      </c>
      <c r="E77" s="19"/>
      <c r="F77" s="5"/>
      <c r="H77" s="19"/>
    </row>
    <row r="78">
      <c r="A78" s="39">
        <v>44825.0</v>
      </c>
      <c r="B78" s="4" t="s">
        <v>532</v>
      </c>
      <c r="C78" s="21">
        <v>3.65</v>
      </c>
      <c r="E78" s="19"/>
      <c r="F78" s="5"/>
      <c r="H78" s="19"/>
    </row>
    <row r="79">
      <c r="A79" s="39">
        <v>44825.0</v>
      </c>
      <c r="B79" s="4" t="s">
        <v>140</v>
      </c>
      <c r="C79" s="21">
        <v>9.9</v>
      </c>
      <c r="E79" s="19"/>
      <c r="F79" s="5"/>
      <c r="H79" s="19"/>
    </row>
    <row r="80">
      <c r="A80" s="39">
        <v>44825.0</v>
      </c>
      <c r="B80" s="4" t="s">
        <v>56</v>
      </c>
      <c r="C80" s="21">
        <v>1.65</v>
      </c>
      <c r="E80" s="19"/>
      <c r="F80" s="5"/>
      <c r="H80" s="19"/>
    </row>
    <row r="81">
      <c r="A81" s="39">
        <v>44825.0</v>
      </c>
      <c r="B81" s="4" t="s">
        <v>164</v>
      </c>
      <c r="C81" s="21">
        <v>20.8</v>
      </c>
      <c r="E81" s="19"/>
      <c r="F81" s="5"/>
      <c r="H81" s="19"/>
    </row>
    <row r="82">
      <c r="A82" s="39">
        <v>44825.0</v>
      </c>
      <c r="B82" s="4" t="s">
        <v>45</v>
      </c>
      <c r="C82" s="21">
        <v>6.66</v>
      </c>
      <c r="E82" s="19"/>
      <c r="F82" s="5"/>
      <c r="H82" s="19"/>
    </row>
    <row r="83">
      <c r="A83" s="39">
        <v>44825.0</v>
      </c>
      <c r="B83" s="4" t="s">
        <v>45</v>
      </c>
      <c r="C83" s="21">
        <v>10.62</v>
      </c>
      <c r="E83" s="19"/>
      <c r="F83" s="5"/>
      <c r="H83" s="19"/>
    </row>
    <row r="84">
      <c r="A84" s="39">
        <v>44825.0</v>
      </c>
      <c r="B84" s="4" t="s">
        <v>56</v>
      </c>
      <c r="C84" s="21">
        <v>2.2</v>
      </c>
      <c r="E84" s="19"/>
      <c r="F84" s="5"/>
      <c r="H84" s="19"/>
    </row>
    <row r="85">
      <c r="A85" s="39">
        <v>44825.0</v>
      </c>
      <c r="B85" s="4" t="s">
        <v>263</v>
      </c>
      <c r="C85" s="21">
        <v>15.15</v>
      </c>
      <c r="E85" s="19"/>
      <c r="F85" s="5"/>
      <c r="H85" s="19"/>
    </row>
    <row r="86">
      <c r="A86" s="39">
        <v>44826.0</v>
      </c>
      <c r="B86" s="4" t="s">
        <v>480</v>
      </c>
      <c r="C86" s="21">
        <v>250.0</v>
      </c>
      <c r="E86" s="19"/>
      <c r="F86" s="5"/>
      <c r="H86" s="19"/>
    </row>
    <row r="87">
      <c r="A87" s="39">
        <v>44826.0</v>
      </c>
      <c r="B87" s="4" t="s">
        <v>252</v>
      </c>
      <c r="C87" s="21">
        <v>35.99</v>
      </c>
      <c r="E87" s="19"/>
      <c r="F87" s="5"/>
      <c r="H87" s="19"/>
    </row>
    <row r="88">
      <c r="A88" s="39">
        <v>44826.0</v>
      </c>
      <c r="B88" s="4" t="s">
        <v>253</v>
      </c>
      <c r="C88" s="21">
        <v>49.0</v>
      </c>
      <c r="E88" s="19"/>
      <c r="F88" s="5"/>
      <c r="H88" s="19"/>
    </row>
    <row r="89">
      <c r="A89" s="39">
        <v>44826.0</v>
      </c>
      <c r="B89" s="4" t="s">
        <v>127</v>
      </c>
      <c r="C89" s="21">
        <v>7.7</v>
      </c>
      <c r="E89" s="19"/>
      <c r="F89" s="5"/>
      <c r="H89" s="19"/>
    </row>
    <row r="90">
      <c r="A90" s="39">
        <v>44826.0</v>
      </c>
      <c r="B90" s="4" t="s">
        <v>56</v>
      </c>
      <c r="C90" s="21">
        <v>2.0</v>
      </c>
      <c r="E90" s="19"/>
      <c r="F90" s="5"/>
      <c r="H90" s="19"/>
    </row>
    <row r="91">
      <c r="A91" s="39">
        <v>44826.0</v>
      </c>
      <c r="B91" s="4" t="s">
        <v>56</v>
      </c>
      <c r="C91" s="21">
        <v>5.0</v>
      </c>
      <c r="E91" s="19"/>
      <c r="F91" s="5"/>
      <c r="H91" s="19"/>
    </row>
    <row r="92">
      <c r="A92" s="39">
        <v>44826.0</v>
      </c>
      <c r="B92" s="4" t="s">
        <v>47</v>
      </c>
      <c r="C92" s="21">
        <v>7.09</v>
      </c>
      <c r="E92" s="19"/>
      <c r="F92" s="5"/>
      <c r="H92" s="19"/>
    </row>
    <row r="93">
      <c r="A93" s="39">
        <v>44827.0</v>
      </c>
      <c r="B93" s="4" t="s">
        <v>53</v>
      </c>
      <c r="C93" s="21">
        <v>8.84</v>
      </c>
      <c r="E93" s="19"/>
      <c r="F93" s="5"/>
      <c r="H93" s="19"/>
    </row>
    <row r="94">
      <c r="A94" s="39">
        <v>44827.0</v>
      </c>
      <c r="B94" s="4" t="s">
        <v>127</v>
      </c>
      <c r="C94" s="21">
        <v>6.4</v>
      </c>
      <c r="E94" s="19"/>
      <c r="F94" s="5"/>
      <c r="H94" s="19"/>
    </row>
    <row r="95">
      <c r="A95" s="39">
        <v>44828.0</v>
      </c>
      <c r="B95" s="4" t="s">
        <v>53</v>
      </c>
      <c r="C95" s="21">
        <v>4.45</v>
      </c>
      <c r="E95" s="19"/>
      <c r="F95" s="5"/>
      <c r="H95" s="19"/>
    </row>
    <row r="96">
      <c r="A96" s="39">
        <v>44828.0</v>
      </c>
      <c r="B96" s="4" t="s">
        <v>298</v>
      </c>
      <c r="C96" s="21">
        <v>6.2</v>
      </c>
      <c r="E96" s="19"/>
      <c r="F96" s="5"/>
      <c r="H96" s="19"/>
    </row>
    <row r="97">
      <c r="A97" s="39">
        <v>44828.0</v>
      </c>
      <c r="B97" s="4" t="s">
        <v>298</v>
      </c>
      <c r="C97" s="21">
        <f>23.6-(19.8)</f>
        <v>3.8</v>
      </c>
      <c r="E97" s="19"/>
      <c r="F97" s="5"/>
      <c r="H97" s="19"/>
    </row>
    <row r="98">
      <c r="A98" s="39">
        <v>44829.0</v>
      </c>
      <c r="B98" s="4" t="s">
        <v>47</v>
      </c>
      <c r="C98" s="21">
        <v>4.4</v>
      </c>
      <c r="E98" s="19"/>
      <c r="F98" s="5"/>
      <c r="H98" s="19"/>
    </row>
    <row r="99">
      <c r="A99" s="39">
        <v>44830.0</v>
      </c>
      <c r="B99" s="4" t="s">
        <v>127</v>
      </c>
      <c r="C99" s="21">
        <v>5.2</v>
      </c>
      <c r="E99" s="19"/>
      <c r="F99" s="5"/>
      <c r="H99" s="19"/>
    </row>
    <row r="100">
      <c r="A100" s="39">
        <v>44830.0</v>
      </c>
      <c r="B100" s="4" t="s">
        <v>544</v>
      </c>
      <c r="C100" s="21">
        <v>192.94</v>
      </c>
      <c r="E100" s="19"/>
      <c r="F100" s="5"/>
      <c r="H100" s="19"/>
    </row>
    <row r="101">
      <c r="A101" s="39">
        <v>44831.0</v>
      </c>
      <c r="B101" s="4" t="s">
        <v>517</v>
      </c>
      <c r="C101" s="21">
        <v>10.34</v>
      </c>
      <c r="E101" s="19"/>
      <c r="F101" s="5"/>
      <c r="H101" s="19"/>
    </row>
    <row r="102">
      <c r="A102" s="39">
        <v>44832.0</v>
      </c>
      <c r="B102" s="4" t="s">
        <v>59</v>
      </c>
      <c r="C102" s="21">
        <v>20.41</v>
      </c>
      <c r="E102" s="19"/>
      <c r="F102" s="5"/>
      <c r="H102" s="19"/>
    </row>
    <row r="103">
      <c r="A103" s="39">
        <v>44833.0</v>
      </c>
      <c r="B103" s="4" t="s">
        <v>279</v>
      </c>
      <c r="C103" s="21">
        <v>9.89</v>
      </c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39"/>
      <c r="C999" s="5"/>
      <c r="E999" s="19"/>
      <c r="F999" s="5"/>
      <c r="H999" s="19"/>
    </row>
  </sheetData>
  <conditionalFormatting sqref="I1">
    <cfRule type="cellIs" dxfId="1" priority="1" operator="lessThan">
      <formula>0</formula>
    </cfRule>
  </conditionalFormatting>
  <conditionalFormatting sqref="I1">
    <cfRule type="cellIs" dxfId="0" priority="2" operator="greaterThan">
      <formula>0</formula>
    </cfRule>
  </conditionalFormatting>
  <conditionalFormatting sqref="F12">
    <cfRule type="cellIs" dxfId="3" priority="3" operator="greaterThan">
      <formula>0</formula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545</v>
      </c>
      <c r="B1" s="1" t="s">
        <v>43</v>
      </c>
      <c r="C1" s="16" t="s">
        <v>44</v>
      </c>
      <c r="D1" s="19"/>
      <c r="E1" s="1" t="s">
        <v>45</v>
      </c>
      <c r="F1" s="5">
        <f>SUMIF(B:B,E1,C:C)+SUMIF(B:B,"Drinks",C:C)</f>
        <v>291.79</v>
      </c>
      <c r="H1" s="1" t="s">
        <v>46</v>
      </c>
      <c r="I1" s="5">
        <f>I4-I5</f>
        <v>36.99</v>
      </c>
      <c r="J1" s="19"/>
      <c r="K1" s="1" t="s">
        <v>47</v>
      </c>
      <c r="L1" s="5">
        <f t="shared" ref="L1:L5" si="1">SUMIF(B:B,K1,C:I)</f>
        <v>139.24</v>
      </c>
      <c r="M1" s="19"/>
      <c r="N1" s="1" t="s">
        <v>48</v>
      </c>
      <c r="O1" s="1" t="s">
        <v>10</v>
      </c>
      <c r="P1" s="1" t="s">
        <v>49</v>
      </c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39">
        <v>44774.0</v>
      </c>
      <c r="B2" s="4" t="s">
        <v>47</v>
      </c>
      <c r="C2" s="21">
        <v>15.75</v>
      </c>
      <c r="E2" s="1" t="s">
        <v>52</v>
      </c>
      <c r="F2" s="5">
        <f>SUMIF(B:B,"Deliveroo",C:C)+SUMIF(B:B,"Just eat",C:C)+SUMIF(B:B,"Uber eats",C:C)</f>
        <v>94.91</v>
      </c>
      <c r="H2" s="1" t="s">
        <v>480</v>
      </c>
      <c r="I2" s="5">
        <f>SUMIF(B:B,H2,C:C)</f>
        <v>250</v>
      </c>
      <c r="K2" s="1" t="s">
        <v>53</v>
      </c>
      <c r="L2" s="5">
        <f t="shared" si="1"/>
        <v>66.46</v>
      </c>
      <c r="N2" s="39">
        <v>44774.0</v>
      </c>
      <c r="O2" s="40">
        <f t="shared" ref="O2:O32" si="2">sumif(A:A,N2,C:C)</f>
        <v>21.8</v>
      </c>
      <c r="P2" s="40">
        <f>SUM(O2)</f>
        <v>21.8</v>
      </c>
    </row>
    <row r="3">
      <c r="A3" s="39">
        <v>44774.0</v>
      </c>
      <c r="B3" s="4" t="s">
        <v>164</v>
      </c>
      <c r="C3" s="21">
        <v>6.05</v>
      </c>
      <c r="E3" s="1" t="s">
        <v>209</v>
      </c>
      <c r="F3" s="5">
        <f>SUMIF(B:B,"Pret",C:C)+SUMIF(B:B,"Breakfast",C:C)</f>
        <v>19.9</v>
      </c>
      <c r="K3" s="1" t="s">
        <v>56</v>
      </c>
      <c r="L3" s="5">
        <f t="shared" si="1"/>
        <v>20.39</v>
      </c>
      <c r="N3" s="39">
        <v>44775.0</v>
      </c>
      <c r="O3" s="40">
        <f t="shared" si="2"/>
        <v>35</v>
      </c>
      <c r="P3" s="40">
        <f t="shared" ref="P3:P32" si="3">P2+O3</f>
        <v>56.8</v>
      </c>
    </row>
    <row r="4">
      <c r="A4" s="39">
        <v>44775.0</v>
      </c>
      <c r="B4" s="4" t="s">
        <v>253</v>
      </c>
      <c r="C4" s="21">
        <v>10.0</v>
      </c>
      <c r="E4" s="1" t="s">
        <v>140</v>
      </c>
      <c r="F4" s="5">
        <f>SUMIF(B:B,E4,C:C)</f>
        <v>57.37</v>
      </c>
      <c r="H4" s="1" t="s">
        <v>65</v>
      </c>
      <c r="I4" s="58">
        <v>2447.86</v>
      </c>
      <c r="K4" s="1" t="s">
        <v>59</v>
      </c>
      <c r="L4" s="5">
        <f t="shared" si="1"/>
        <v>27.99</v>
      </c>
      <c r="N4" s="39">
        <v>44776.0</v>
      </c>
      <c r="O4" s="40">
        <f t="shared" si="2"/>
        <v>16</v>
      </c>
      <c r="P4" s="40">
        <f t="shared" si="3"/>
        <v>72.8</v>
      </c>
    </row>
    <row r="5">
      <c r="A5" s="39">
        <v>44775.0</v>
      </c>
      <c r="B5" s="4" t="s">
        <v>45</v>
      </c>
      <c r="C5" s="21">
        <v>25.0</v>
      </c>
      <c r="E5" s="1" t="s">
        <v>57</v>
      </c>
      <c r="F5" s="5">
        <f>sum(L:L)</f>
        <v>272.58</v>
      </c>
      <c r="H5" s="1" t="s">
        <v>68</v>
      </c>
      <c r="I5" s="5">
        <f>sum(C:C)</f>
        <v>2410.87</v>
      </c>
      <c r="K5" s="1" t="s">
        <v>66</v>
      </c>
      <c r="L5" s="5">
        <f t="shared" si="1"/>
        <v>18.5</v>
      </c>
      <c r="N5" s="39">
        <v>44777.0</v>
      </c>
      <c r="O5" s="40">
        <f t="shared" si="2"/>
        <v>38.33</v>
      </c>
      <c r="P5" s="40">
        <f t="shared" si="3"/>
        <v>111.13</v>
      </c>
    </row>
    <row r="6">
      <c r="A6" s="39">
        <v>44776.0</v>
      </c>
      <c r="B6" s="4" t="s">
        <v>140</v>
      </c>
      <c r="C6" s="21">
        <v>12.5</v>
      </c>
      <c r="E6" s="42" t="s">
        <v>61</v>
      </c>
      <c r="F6" s="5">
        <f>SUMIF(B:B,"Games",C:C)+SUMIF(B:B,"Spotify",C:C)+SUMIF(B:B,"Disney+",C:C)+SUMIF(B:B,"Book",C:C)</f>
        <v>64.55</v>
      </c>
      <c r="H6" s="1" t="s">
        <v>72</v>
      </c>
      <c r="I6" s="5">
        <f>sum(F:F)+I2</f>
        <v>2362.82</v>
      </c>
      <c r="N6" s="39">
        <v>44778.0</v>
      </c>
      <c r="O6" s="40">
        <f t="shared" si="2"/>
        <v>6.4</v>
      </c>
      <c r="P6" s="40">
        <f t="shared" si="3"/>
        <v>117.53</v>
      </c>
    </row>
    <row r="7">
      <c r="A7" s="39">
        <v>44776.0</v>
      </c>
      <c r="B7" s="4" t="s">
        <v>532</v>
      </c>
      <c r="C7" s="21">
        <v>3.5</v>
      </c>
      <c r="E7" s="1" t="s">
        <v>64</v>
      </c>
      <c r="F7" s="5">
        <f t="shared" ref="F7:F10" si="4">SUMIF(B:B,E7,C:C)</f>
        <v>14.5</v>
      </c>
      <c r="H7" s="1" t="s">
        <v>74</v>
      </c>
      <c r="I7" s="5">
        <f>I5-I6</f>
        <v>48.05</v>
      </c>
      <c r="N7" s="39">
        <v>44779.0</v>
      </c>
      <c r="O7" s="40">
        <f t="shared" si="2"/>
        <v>63.4</v>
      </c>
      <c r="P7" s="40">
        <f t="shared" si="3"/>
        <v>180.93</v>
      </c>
    </row>
    <row r="8">
      <c r="A8" s="39">
        <v>44777.0</v>
      </c>
      <c r="B8" s="4" t="s">
        <v>53</v>
      </c>
      <c r="C8" s="21">
        <v>14.61</v>
      </c>
      <c r="E8" s="1" t="s">
        <v>54</v>
      </c>
      <c r="F8" s="5">
        <f t="shared" si="4"/>
        <v>1105</v>
      </c>
      <c r="H8" s="19"/>
      <c r="N8" s="39">
        <v>44780.0</v>
      </c>
      <c r="O8" s="40">
        <f t="shared" si="2"/>
        <v>0</v>
      </c>
      <c r="P8" s="40">
        <f t="shared" si="3"/>
        <v>180.93</v>
      </c>
    </row>
    <row r="9">
      <c r="A9" s="39">
        <v>44777.0</v>
      </c>
      <c r="B9" s="4" t="s">
        <v>56</v>
      </c>
      <c r="C9" s="21">
        <v>4.42</v>
      </c>
      <c r="E9" s="1" t="s">
        <v>253</v>
      </c>
      <c r="F9" s="5">
        <f t="shared" si="4"/>
        <v>59</v>
      </c>
      <c r="H9" s="19"/>
      <c r="N9" s="39">
        <v>44781.0</v>
      </c>
      <c r="O9" s="40">
        <f t="shared" si="2"/>
        <v>76.67</v>
      </c>
      <c r="P9" s="40">
        <f t="shared" si="3"/>
        <v>257.6</v>
      </c>
    </row>
    <row r="10">
      <c r="A10" s="39">
        <v>44777.0</v>
      </c>
      <c r="B10" s="4" t="s">
        <v>140</v>
      </c>
      <c r="C10" s="21">
        <v>8.0</v>
      </c>
      <c r="E10" s="1" t="s">
        <v>127</v>
      </c>
      <c r="F10" s="5">
        <f t="shared" si="4"/>
        <v>62.55</v>
      </c>
      <c r="H10" s="19"/>
      <c r="N10" s="39">
        <v>44782.0</v>
      </c>
      <c r="O10" s="40">
        <f t="shared" si="2"/>
        <v>19.35</v>
      </c>
      <c r="P10" s="40">
        <f t="shared" si="3"/>
        <v>276.95</v>
      </c>
    </row>
    <row r="11">
      <c r="A11" s="39">
        <v>44777.0</v>
      </c>
      <c r="B11" s="4" t="s">
        <v>127</v>
      </c>
      <c r="C11" s="21">
        <v>6.4</v>
      </c>
      <c r="E11" s="1" t="s">
        <v>252</v>
      </c>
      <c r="F11" s="5">
        <f>SUMIF(B:B,"Phone",C:C)</f>
        <v>35.99</v>
      </c>
      <c r="H11" s="19"/>
      <c r="N11" s="39">
        <v>44783.0</v>
      </c>
      <c r="O11" s="40">
        <f t="shared" si="2"/>
        <v>5.3</v>
      </c>
      <c r="P11" s="40">
        <f t="shared" si="3"/>
        <v>282.25</v>
      </c>
    </row>
    <row r="12">
      <c r="A12" s="39">
        <v>44777.0</v>
      </c>
      <c r="B12" s="4" t="s">
        <v>532</v>
      </c>
      <c r="C12" s="21">
        <v>4.9</v>
      </c>
      <c r="E12" s="1" t="s">
        <v>164</v>
      </c>
      <c r="F12" s="62">
        <f>SUMIF(B:B,"Cigs",C:C)</f>
        <v>26.45</v>
      </c>
      <c r="H12" s="19"/>
      <c r="N12" s="39">
        <v>44784.0</v>
      </c>
      <c r="O12" s="40">
        <f t="shared" si="2"/>
        <v>45.44</v>
      </c>
      <c r="P12" s="40">
        <f t="shared" si="3"/>
        <v>327.69</v>
      </c>
    </row>
    <row r="13">
      <c r="A13" s="39">
        <v>44778.0</v>
      </c>
      <c r="B13" s="4" t="s">
        <v>127</v>
      </c>
      <c r="C13" s="21">
        <v>6.4</v>
      </c>
      <c r="E13" s="1" t="s">
        <v>73</v>
      </c>
      <c r="F13" s="5">
        <f>SUMIF(B:B,"Uber",C:C)</f>
        <v>8.23</v>
      </c>
      <c r="H13" s="19"/>
      <c r="N13" s="39">
        <v>44785.0</v>
      </c>
      <c r="O13" s="40">
        <f t="shared" si="2"/>
        <v>42.6</v>
      </c>
      <c r="P13" s="40">
        <f t="shared" si="3"/>
        <v>370.29</v>
      </c>
    </row>
    <row r="14">
      <c r="A14" s="39">
        <v>44779.0</v>
      </c>
      <c r="B14" s="4" t="s">
        <v>45</v>
      </c>
      <c r="C14" s="21">
        <v>13.4</v>
      </c>
      <c r="H14" s="19"/>
      <c r="N14" s="39">
        <v>44786.0</v>
      </c>
      <c r="O14" s="40">
        <f t="shared" si="2"/>
        <v>62.24</v>
      </c>
      <c r="P14" s="40">
        <f t="shared" si="3"/>
        <v>432.53</v>
      </c>
    </row>
    <row r="15">
      <c r="A15" s="39">
        <v>44779.0</v>
      </c>
      <c r="B15" s="4" t="s">
        <v>45</v>
      </c>
      <c r="C15" s="21">
        <v>4.4</v>
      </c>
      <c r="H15" s="19"/>
      <c r="N15" s="39">
        <v>44787.0</v>
      </c>
      <c r="O15" s="40">
        <f t="shared" si="2"/>
        <v>2.75</v>
      </c>
      <c r="P15" s="40">
        <f t="shared" si="3"/>
        <v>435.28</v>
      </c>
    </row>
    <row r="16">
      <c r="A16" s="39">
        <v>44779.0</v>
      </c>
      <c r="B16" s="4" t="s">
        <v>45</v>
      </c>
      <c r="C16" s="21">
        <v>18.2</v>
      </c>
      <c r="H16" s="19"/>
      <c r="N16" s="39">
        <v>44788.0</v>
      </c>
      <c r="O16" s="40">
        <f t="shared" si="2"/>
        <v>1092.98</v>
      </c>
      <c r="P16" s="40">
        <f t="shared" si="3"/>
        <v>1528.26</v>
      </c>
    </row>
    <row r="17">
      <c r="A17" s="39">
        <v>44779.0</v>
      </c>
      <c r="B17" s="4" t="s">
        <v>45</v>
      </c>
      <c r="C17" s="21">
        <v>4.4</v>
      </c>
      <c r="H17" s="19"/>
      <c r="N17" s="39">
        <v>44789.0</v>
      </c>
      <c r="O17" s="40">
        <f t="shared" si="2"/>
        <v>15.65</v>
      </c>
      <c r="P17" s="40">
        <f t="shared" si="3"/>
        <v>1543.91</v>
      </c>
    </row>
    <row r="18">
      <c r="A18" s="39">
        <v>44779.0</v>
      </c>
      <c r="B18" s="4" t="s">
        <v>164</v>
      </c>
      <c r="C18" s="21">
        <v>20.4</v>
      </c>
      <c r="H18" s="19"/>
      <c r="N18" s="39">
        <v>44790.0</v>
      </c>
      <c r="O18" s="40">
        <f t="shared" si="2"/>
        <v>44.41</v>
      </c>
      <c r="P18" s="40">
        <f t="shared" si="3"/>
        <v>1588.32</v>
      </c>
    </row>
    <row r="19">
      <c r="A19" s="39">
        <v>44779.0</v>
      </c>
      <c r="B19" s="4" t="s">
        <v>127</v>
      </c>
      <c r="C19" s="21">
        <v>2.6</v>
      </c>
      <c r="H19" s="19"/>
      <c r="N19" s="39">
        <v>44791.0</v>
      </c>
      <c r="O19" s="40">
        <f t="shared" si="2"/>
        <v>31.47</v>
      </c>
      <c r="P19" s="40">
        <f t="shared" si="3"/>
        <v>1619.79</v>
      </c>
    </row>
    <row r="20">
      <c r="A20" s="39">
        <v>44781.0</v>
      </c>
      <c r="B20" s="4" t="s">
        <v>279</v>
      </c>
      <c r="C20" s="21">
        <v>10.99</v>
      </c>
      <c r="H20" s="19"/>
      <c r="N20" s="39">
        <v>44792.0</v>
      </c>
      <c r="O20" s="40">
        <f t="shared" si="2"/>
        <v>57.96</v>
      </c>
      <c r="P20" s="40">
        <f t="shared" si="3"/>
        <v>1677.75</v>
      </c>
    </row>
    <row r="21">
      <c r="A21" s="39">
        <v>44781.0</v>
      </c>
      <c r="B21" s="4" t="s">
        <v>53</v>
      </c>
      <c r="C21" s="21">
        <v>27.49</v>
      </c>
      <c r="E21" s="19"/>
      <c r="F21" s="5"/>
      <c r="H21" s="19"/>
      <c r="N21" s="39">
        <v>44793.0</v>
      </c>
      <c r="O21" s="40">
        <f t="shared" si="2"/>
        <v>29</v>
      </c>
      <c r="P21" s="40">
        <f t="shared" si="3"/>
        <v>1706.75</v>
      </c>
    </row>
    <row r="22">
      <c r="A22" s="39">
        <v>44781.0</v>
      </c>
      <c r="B22" s="4" t="s">
        <v>73</v>
      </c>
      <c r="C22" s="21">
        <v>8.23</v>
      </c>
      <c r="E22" s="19"/>
      <c r="F22" s="5"/>
      <c r="H22" s="19"/>
      <c r="N22" s="39">
        <v>44794.0</v>
      </c>
      <c r="O22" s="40">
        <f t="shared" si="2"/>
        <v>42.66</v>
      </c>
      <c r="P22" s="40">
        <f t="shared" si="3"/>
        <v>1749.41</v>
      </c>
    </row>
    <row r="23">
      <c r="A23" s="39">
        <v>44781.0</v>
      </c>
      <c r="B23" s="4" t="s">
        <v>517</v>
      </c>
      <c r="C23" s="21">
        <v>12.77</v>
      </c>
      <c r="E23" s="19"/>
      <c r="F23" s="5"/>
      <c r="H23" s="19"/>
      <c r="N23" s="39">
        <v>44795.0</v>
      </c>
      <c r="O23" s="40">
        <f t="shared" si="2"/>
        <v>396.83</v>
      </c>
      <c r="P23" s="40">
        <f t="shared" si="3"/>
        <v>2146.24</v>
      </c>
    </row>
    <row r="24">
      <c r="A24" s="39">
        <v>44781.0</v>
      </c>
      <c r="B24" s="4" t="s">
        <v>517</v>
      </c>
      <c r="C24" s="21">
        <v>17.19</v>
      </c>
      <c r="E24" s="19"/>
      <c r="F24" s="5"/>
      <c r="H24" s="19"/>
      <c r="N24" s="39">
        <v>44796.0</v>
      </c>
      <c r="O24" s="40">
        <f t="shared" si="2"/>
        <v>0</v>
      </c>
      <c r="P24" s="40">
        <f t="shared" si="3"/>
        <v>2146.24</v>
      </c>
    </row>
    <row r="25">
      <c r="A25" s="39">
        <v>44782.0</v>
      </c>
      <c r="B25" s="4" t="s">
        <v>45</v>
      </c>
      <c r="C25" s="21">
        <v>12.9</v>
      </c>
      <c r="E25" s="19"/>
      <c r="F25" s="5"/>
      <c r="H25" s="19"/>
      <c r="N25" s="39">
        <v>44797.0</v>
      </c>
      <c r="O25" s="40">
        <f t="shared" si="2"/>
        <v>53.59</v>
      </c>
      <c r="P25" s="40">
        <f t="shared" si="3"/>
        <v>2199.83</v>
      </c>
    </row>
    <row r="26">
      <c r="A26" s="39">
        <v>44782.0</v>
      </c>
      <c r="B26" s="4" t="s">
        <v>45</v>
      </c>
      <c r="C26" s="21">
        <v>6.45</v>
      </c>
      <c r="E26" s="19"/>
      <c r="F26" s="5"/>
      <c r="H26" s="19"/>
      <c r="N26" s="39">
        <v>44798.0</v>
      </c>
      <c r="O26" s="40">
        <f t="shared" si="2"/>
        <v>80.37</v>
      </c>
      <c r="P26" s="40">
        <f t="shared" si="3"/>
        <v>2280.2</v>
      </c>
    </row>
    <row r="27">
      <c r="A27" s="39">
        <v>44783.0</v>
      </c>
      <c r="B27" s="4" t="s">
        <v>127</v>
      </c>
      <c r="C27" s="21">
        <v>5.3</v>
      </c>
      <c r="E27" s="19"/>
      <c r="F27" s="5"/>
      <c r="H27" s="19"/>
      <c r="N27" s="39">
        <v>44799.0</v>
      </c>
      <c r="O27" s="40">
        <f t="shared" si="2"/>
        <v>37.99</v>
      </c>
      <c r="P27" s="40">
        <f t="shared" si="3"/>
        <v>2318.19</v>
      </c>
    </row>
    <row r="28">
      <c r="A28" s="39">
        <v>44784.0</v>
      </c>
      <c r="B28" s="4" t="s">
        <v>47</v>
      </c>
      <c r="C28" s="21">
        <v>4.8</v>
      </c>
      <c r="E28" s="19"/>
      <c r="F28" s="5"/>
      <c r="H28" s="19"/>
      <c r="N28" s="39">
        <v>44800.0</v>
      </c>
      <c r="O28" s="40">
        <f t="shared" si="2"/>
        <v>15.12</v>
      </c>
      <c r="P28" s="40">
        <f t="shared" si="3"/>
        <v>2333.31</v>
      </c>
    </row>
    <row r="29">
      <c r="A29" s="39">
        <v>44784.0</v>
      </c>
      <c r="B29" s="4" t="s">
        <v>127</v>
      </c>
      <c r="C29" s="21">
        <v>5.2</v>
      </c>
      <c r="E29" s="19"/>
      <c r="F29" s="5"/>
      <c r="H29" s="19"/>
      <c r="N29" s="39">
        <v>44801.0</v>
      </c>
      <c r="O29" s="40">
        <f t="shared" si="2"/>
        <v>8.67</v>
      </c>
      <c r="P29" s="40">
        <f t="shared" si="3"/>
        <v>2341.98</v>
      </c>
    </row>
    <row r="30">
      <c r="A30" s="39">
        <v>44784.0</v>
      </c>
      <c r="B30" s="4" t="s">
        <v>45</v>
      </c>
      <c r="C30" s="21">
        <v>35.44</v>
      </c>
      <c r="E30" s="19"/>
      <c r="F30" s="5"/>
      <c r="H30" s="19"/>
      <c r="N30" s="39">
        <v>44802.0</v>
      </c>
      <c r="O30" s="40">
        <f t="shared" si="2"/>
        <v>26.35</v>
      </c>
      <c r="P30" s="40">
        <f t="shared" si="3"/>
        <v>2368.33</v>
      </c>
    </row>
    <row r="31">
      <c r="A31" s="39">
        <v>44785.0</v>
      </c>
      <c r="B31" s="4" t="s">
        <v>53</v>
      </c>
      <c r="C31" s="21">
        <v>19.1</v>
      </c>
      <c r="E31" s="19"/>
      <c r="F31" s="5"/>
      <c r="H31" s="19"/>
      <c r="N31" s="39">
        <v>44803.0</v>
      </c>
      <c r="O31" s="40">
        <f t="shared" si="2"/>
        <v>14.75</v>
      </c>
      <c r="P31" s="40">
        <f t="shared" si="3"/>
        <v>2383.08</v>
      </c>
    </row>
    <row r="32">
      <c r="A32" s="39">
        <v>44785.0</v>
      </c>
      <c r="B32" s="4" t="s">
        <v>47</v>
      </c>
      <c r="C32" s="21">
        <v>17.5</v>
      </c>
      <c r="E32" s="19"/>
      <c r="F32" s="5"/>
      <c r="H32" s="19"/>
      <c r="N32" s="39">
        <v>44804.0</v>
      </c>
      <c r="O32" s="40">
        <f t="shared" si="2"/>
        <v>27.79</v>
      </c>
      <c r="P32" s="40">
        <f t="shared" si="3"/>
        <v>2410.87</v>
      </c>
    </row>
    <row r="33">
      <c r="A33" s="39">
        <v>44785.0</v>
      </c>
      <c r="B33" s="4" t="s">
        <v>47</v>
      </c>
      <c r="C33" s="21">
        <v>6.0</v>
      </c>
      <c r="E33" s="19"/>
      <c r="F33" s="5"/>
      <c r="H33" s="19"/>
    </row>
    <row r="34">
      <c r="A34" s="39">
        <v>44786.0</v>
      </c>
      <c r="B34" s="4" t="s">
        <v>528</v>
      </c>
      <c r="C34" s="21">
        <v>23.43</v>
      </c>
      <c r="E34" s="19"/>
      <c r="F34" s="5"/>
      <c r="H34" s="19"/>
    </row>
    <row r="35">
      <c r="A35" s="39">
        <v>44786.0</v>
      </c>
      <c r="B35" s="4" t="s">
        <v>230</v>
      </c>
      <c r="C35" s="21">
        <v>38.81</v>
      </c>
      <c r="E35" s="19"/>
      <c r="F35" s="5"/>
      <c r="H35" s="19"/>
    </row>
    <row r="36">
      <c r="A36" s="39">
        <v>44787.0</v>
      </c>
      <c r="B36" s="4" t="s">
        <v>47</v>
      </c>
      <c r="C36" s="21">
        <v>2.75</v>
      </c>
      <c r="E36" s="19"/>
      <c r="F36" s="5"/>
      <c r="H36" s="19"/>
    </row>
    <row r="37">
      <c r="A37" s="39">
        <v>44788.0</v>
      </c>
      <c r="B37" s="4" t="s">
        <v>254</v>
      </c>
      <c r="C37" s="21">
        <v>9.99</v>
      </c>
      <c r="E37" s="19"/>
      <c r="F37" s="5"/>
      <c r="H37" s="19"/>
    </row>
    <row r="38">
      <c r="A38" s="39">
        <v>44788.0</v>
      </c>
      <c r="B38" s="4" t="s">
        <v>59</v>
      </c>
      <c r="C38" s="21">
        <v>27.99</v>
      </c>
      <c r="E38" s="19"/>
      <c r="F38" s="5"/>
      <c r="H38" s="19"/>
    </row>
    <row r="39">
      <c r="A39" s="39">
        <v>44788.0</v>
      </c>
      <c r="B39" s="4" t="s">
        <v>54</v>
      </c>
      <c r="C39" s="21">
        <v>1055.0</v>
      </c>
      <c r="E39" s="19"/>
      <c r="F39" s="5"/>
      <c r="H39" s="19"/>
    </row>
    <row r="40">
      <c r="A40" s="39">
        <v>44789.0</v>
      </c>
      <c r="B40" s="4" t="s">
        <v>47</v>
      </c>
      <c r="C40" s="21">
        <v>10.15</v>
      </c>
      <c r="E40" s="19"/>
      <c r="F40" s="5"/>
      <c r="H40" s="19"/>
    </row>
    <row r="41">
      <c r="A41" s="39">
        <v>44789.0</v>
      </c>
      <c r="B41" s="4" t="s">
        <v>47</v>
      </c>
      <c r="C41" s="21">
        <v>5.5</v>
      </c>
      <c r="E41" s="19"/>
      <c r="F41" s="5"/>
      <c r="H41" s="19"/>
    </row>
    <row r="42">
      <c r="A42" s="39">
        <v>44790.0</v>
      </c>
      <c r="B42" s="4" t="s">
        <v>532</v>
      </c>
      <c r="C42" s="21">
        <v>3.5</v>
      </c>
      <c r="E42" s="19"/>
      <c r="F42" s="5"/>
      <c r="H42" s="19"/>
    </row>
    <row r="43">
      <c r="A43" s="39">
        <v>44790.0</v>
      </c>
      <c r="B43" s="4" t="s">
        <v>140</v>
      </c>
      <c r="C43" s="21">
        <v>10.85</v>
      </c>
      <c r="E43" s="19"/>
      <c r="F43" s="5"/>
      <c r="H43" s="19"/>
    </row>
    <row r="44">
      <c r="A44" s="39">
        <v>44790.0</v>
      </c>
      <c r="B44" s="4" t="s">
        <v>127</v>
      </c>
      <c r="C44" s="21">
        <v>2.6</v>
      </c>
      <c r="E44" s="19"/>
      <c r="F44" s="5"/>
      <c r="H44" s="19"/>
    </row>
    <row r="45">
      <c r="A45" s="39">
        <v>44790.0</v>
      </c>
      <c r="B45" s="4" t="s">
        <v>127</v>
      </c>
      <c r="C45" s="21">
        <v>2.6</v>
      </c>
      <c r="E45" s="19"/>
      <c r="F45" s="5"/>
      <c r="H45" s="19"/>
    </row>
    <row r="46">
      <c r="A46" s="39">
        <v>44790.0</v>
      </c>
      <c r="B46" s="4" t="s">
        <v>56</v>
      </c>
      <c r="C46" s="21">
        <v>3.67</v>
      </c>
      <c r="E46" s="19"/>
      <c r="F46" s="5"/>
      <c r="H46" s="19"/>
    </row>
    <row r="47">
      <c r="A47" s="39">
        <v>44790.0</v>
      </c>
      <c r="B47" s="4" t="s">
        <v>45</v>
      </c>
      <c r="C47" s="21">
        <v>15.7</v>
      </c>
      <c r="E47" s="19"/>
      <c r="F47" s="5"/>
      <c r="H47" s="19"/>
    </row>
    <row r="48">
      <c r="A48" s="39">
        <v>44790.0</v>
      </c>
      <c r="B48" s="4" t="s">
        <v>45</v>
      </c>
      <c r="C48" s="21">
        <v>5.49</v>
      </c>
      <c r="E48" s="19"/>
      <c r="F48" s="5"/>
      <c r="H48" s="19"/>
    </row>
    <row r="49">
      <c r="A49" s="39">
        <v>44791.0</v>
      </c>
      <c r="B49" s="4" t="s">
        <v>127</v>
      </c>
      <c r="C49" s="21">
        <v>7.7</v>
      </c>
      <c r="E49" s="19"/>
      <c r="F49" s="5"/>
      <c r="H49" s="19"/>
    </row>
    <row r="50">
      <c r="A50" s="39">
        <v>44791.0</v>
      </c>
      <c r="B50" s="4" t="s">
        <v>532</v>
      </c>
      <c r="C50" s="21">
        <v>4.5</v>
      </c>
      <c r="E50" s="19"/>
      <c r="F50" s="5"/>
      <c r="H50" s="19"/>
    </row>
    <row r="51">
      <c r="A51" s="39">
        <v>44791.0</v>
      </c>
      <c r="B51" s="4" t="s">
        <v>140</v>
      </c>
      <c r="C51" s="21">
        <v>11.28</v>
      </c>
      <c r="E51" s="19"/>
      <c r="F51" s="5"/>
      <c r="H51" s="19"/>
    </row>
    <row r="52">
      <c r="A52" s="39">
        <v>44791.0</v>
      </c>
      <c r="B52" s="4" t="s">
        <v>519</v>
      </c>
      <c r="C52" s="21">
        <v>7.99</v>
      </c>
      <c r="E52" s="19"/>
      <c r="F52" s="5"/>
      <c r="H52" s="19"/>
    </row>
    <row r="53">
      <c r="A53" s="39">
        <v>44792.0</v>
      </c>
      <c r="B53" s="4" t="s">
        <v>127</v>
      </c>
      <c r="C53" s="21">
        <v>6.4</v>
      </c>
      <c r="E53" s="19"/>
      <c r="F53" s="5"/>
      <c r="H53" s="19"/>
    </row>
    <row r="54">
      <c r="A54" s="39">
        <v>44792.0</v>
      </c>
      <c r="B54" s="4" t="s">
        <v>45</v>
      </c>
      <c r="C54" s="21">
        <v>13.5</v>
      </c>
      <c r="E54" s="19"/>
      <c r="F54" s="5"/>
      <c r="H54" s="19"/>
    </row>
    <row r="55">
      <c r="A55" s="39">
        <v>44792.0</v>
      </c>
      <c r="B55" s="4" t="s">
        <v>47</v>
      </c>
      <c r="C55" s="21">
        <v>14.25</v>
      </c>
      <c r="E55" s="19"/>
      <c r="F55" s="5"/>
      <c r="H55" s="19"/>
    </row>
    <row r="56">
      <c r="A56" s="39">
        <v>44792.0</v>
      </c>
      <c r="B56" s="4" t="s">
        <v>47</v>
      </c>
      <c r="C56" s="21">
        <v>9.63</v>
      </c>
      <c r="E56" s="19"/>
      <c r="F56" s="5"/>
      <c r="H56" s="19"/>
    </row>
    <row r="57">
      <c r="A57" s="39">
        <v>44792.0</v>
      </c>
      <c r="B57" s="4" t="s">
        <v>47</v>
      </c>
      <c r="C57" s="21">
        <v>9.99</v>
      </c>
      <c r="E57" s="19"/>
      <c r="F57" s="5"/>
      <c r="H57" s="19"/>
    </row>
    <row r="58">
      <c r="A58" s="39">
        <v>44792.0</v>
      </c>
      <c r="B58" s="4" t="s">
        <v>119</v>
      </c>
      <c r="C58" s="21">
        <v>4.19</v>
      </c>
      <c r="E58" s="19"/>
      <c r="F58" s="5"/>
      <c r="H58" s="19"/>
    </row>
    <row r="59">
      <c r="A59" s="39">
        <v>44793.0</v>
      </c>
      <c r="B59" s="4" t="s">
        <v>56</v>
      </c>
      <c r="C59" s="21">
        <v>8.0</v>
      </c>
      <c r="E59" s="19"/>
      <c r="F59" s="5"/>
      <c r="H59" s="19"/>
    </row>
    <row r="60">
      <c r="A60" s="39">
        <v>44793.0</v>
      </c>
      <c r="B60" s="4" t="s">
        <v>45</v>
      </c>
      <c r="C60" s="21">
        <v>21.0</v>
      </c>
      <c r="E60" s="19"/>
      <c r="F60" s="5"/>
      <c r="H60" s="19"/>
    </row>
    <row r="61">
      <c r="A61" s="39">
        <v>44794.0</v>
      </c>
      <c r="B61" s="4" t="s">
        <v>45</v>
      </c>
      <c r="C61" s="21">
        <v>21.0</v>
      </c>
      <c r="E61" s="19"/>
      <c r="F61" s="5"/>
      <c r="H61" s="19"/>
    </row>
    <row r="62">
      <c r="A62" s="39">
        <v>44794.0</v>
      </c>
      <c r="B62" s="4" t="s">
        <v>517</v>
      </c>
      <c r="C62" s="21">
        <v>15.49</v>
      </c>
      <c r="E62" s="19"/>
      <c r="F62" s="5"/>
      <c r="H62" s="19"/>
    </row>
    <row r="63">
      <c r="A63" s="39">
        <v>44794.0</v>
      </c>
      <c r="B63" s="4" t="s">
        <v>127</v>
      </c>
      <c r="C63" s="21">
        <v>2.6</v>
      </c>
      <c r="E63" s="19"/>
      <c r="F63" s="5"/>
      <c r="H63" s="19"/>
    </row>
    <row r="64">
      <c r="A64" s="39">
        <v>44794.0</v>
      </c>
      <c r="B64" s="4" t="s">
        <v>230</v>
      </c>
      <c r="C64" s="21">
        <v>3.57</v>
      </c>
      <c r="E64" s="19"/>
      <c r="F64" s="5"/>
      <c r="H64" s="19"/>
    </row>
    <row r="65">
      <c r="A65" s="39">
        <v>44795.0</v>
      </c>
      <c r="B65" s="4" t="s">
        <v>546</v>
      </c>
      <c r="C65" s="21">
        <v>11.98</v>
      </c>
      <c r="E65" s="19"/>
      <c r="F65" s="5"/>
      <c r="H65" s="19"/>
    </row>
    <row r="66">
      <c r="A66" s="39">
        <v>44795.0</v>
      </c>
      <c r="B66" s="4" t="s">
        <v>517</v>
      </c>
      <c r="C66" s="21">
        <v>10.27</v>
      </c>
      <c r="E66" s="19"/>
      <c r="F66" s="5"/>
      <c r="H66" s="19"/>
    </row>
    <row r="67">
      <c r="A67" s="39">
        <v>44795.0</v>
      </c>
      <c r="B67" s="4" t="s">
        <v>45</v>
      </c>
      <c r="C67" s="21">
        <v>18.1</v>
      </c>
      <c r="E67" s="19"/>
      <c r="F67" s="5"/>
      <c r="H67" s="19"/>
    </row>
    <row r="68">
      <c r="A68" s="39">
        <v>44795.0</v>
      </c>
      <c r="B68" s="4" t="s">
        <v>470</v>
      </c>
      <c r="C68" s="21">
        <v>6.99</v>
      </c>
      <c r="E68" s="19"/>
      <c r="F68" s="5"/>
      <c r="H68" s="19"/>
    </row>
    <row r="69">
      <c r="A69" s="39">
        <v>44795.0</v>
      </c>
      <c r="B69" s="4" t="s">
        <v>64</v>
      </c>
      <c r="C69" s="21">
        <v>14.5</v>
      </c>
      <c r="E69" s="19"/>
      <c r="F69" s="5"/>
      <c r="H69" s="19"/>
    </row>
    <row r="70">
      <c r="A70" s="39">
        <v>44795.0</v>
      </c>
      <c r="B70" s="4" t="s">
        <v>252</v>
      </c>
      <c r="C70" s="21">
        <v>35.99</v>
      </c>
      <c r="E70" s="19"/>
      <c r="F70" s="5"/>
      <c r="H70" s="19"/>
    </row>
    <row r="71">
      <c r="A71" s="39">
        <v>44795.0</v>
      </c>
      <c r="B71" s="4" t="s">
        <v>253</v>
      </c>
      <c r="C71" s="21">
        <v>49.0</v>
      </c>
      <c r="E71" s="19"/>
      <c r="F71" s="5"/>
      <c r="H71" s="19"/>
    </row>
    <row r="72">
      <c r="A72" s="39">
        <v>44795.0</v>
      </c>
      <c r="B72" s="4" t="s">
        <v>480</v>
      </c>
      <c r="C72" s="21">
        <v>250.0</v>
      </c>
      <c r="E72" s="19"/>
      <c r="F72" s="5"/>
      <c r="H72" s="19"/>
    </row>
    <row r="73">
      <c r="A73" s="39">
        <v>44797.0</v>
      </c>
      <c r="B73" s="4" t="s">
        <v>140</v>
      </c>
      <c r="C73" s="21">
        <v>6.75</v>
      </c>
      <c r="E73" s="19"/>
      <c r="F73" s="5"/>
      <c r="H73" s="19"/>
    </row>
    <row r="74">
      <c r="A74" s="39">
        <v>44797.0</v>
      </c>
      <c r="B74" s="4" t="s">
        <v>45</v>
      </c>
      <c r="C74" s="21">
        <v>10.44</v>
      </c>
      <c r="E74" s="19"/>
      <c r="F74" s="5"/>
      <c r="H74" s="19"/>
    </row>
    <row r="75">
      <c r="A75" s="39">
        <v>44797.0</v>
      </c>
      <c r="B75" s="4" t="s">
        <v>45</v>
      </c>
      <c r="C75" s="21">
        <v>12.2</v>
      </c>
      <c r="E75" s="19"/>
      <c r="F75" s="5"/>
      <c r="H75" s="19"/>
    </row>
    <row r="76">
      <c r="A76" s="39">
        <v>44797.0</v>
      </c>
      <c r="B76" s="4" t="s">
        <v>45</v>
      </c>
      <c r="C76" s="21">
        <v>12.2</v>
      </c>
      <c r="E76" s="19"/>
      <c r="F76" s="5"/>
      <c r="H76" s="19"/>
    </row>
    <row r="77">
      <c r="A77" s="39">
        <v>44797.0</v>
      </c>
      <c r="B77" s="4" t="s">
        <v>512</v>
      </c>
      <c r="C77" s="21">
        <v>12.0</v>
      </c>
      <c r="E77" s="19"/>
      <c r="F77" s="5"/>
      <c r="H77" s="19"/>
    </row>
    <row r="78">
      <c r="A78" s="39">
        <v>44798.0</v>
      </c>
      <c r="B78" s="4" t="s">
        <v>47</v>
      </c>
      <c r="C78" s="21">
        <v>17.48</v>
      </c>
      <c r="E78" s="19"/>
      <c r="F78" s="5"/>
      <c r="H78" s="19"/>
    </row>
    <row r="79">
      <c r="A79" s="39">
        <v>44798.0</v>
      </c>
      <c r="B79" s="4" t="s">
        <v>127</v>
      </c>
      <c r="C79" s="21">
        <v>5.2</v>
      </c>
      <c r="E79" s="19"/>
      <c r="F79" s="5"/>
      <c r="H79" s="19"/>
    </row>
    <row r="80">
      <c r="A80" s="39">
        <v>44798.0</v>
      </c>
      <c r="B80" s="4" t="s">
        <v>53</v>
      </c>
      <c r="C80" s="21">
        <v>1.19</v>
      </c>
      <c r="E80" s="19"/>
      <c r="F80" s="5"/>
      <c r="H80" s="19"/>
    </row>
    <row r="81">
      <c r="A81" s="39">
        <v>44798.0</v>
      </c>
      <c r="B81" s="4" t="s">
        <v>66</v>
      </c>
      <c r="C81" s="21">
        <v>6.5</v>
      </c>
      <c r="E81" s="19"/>
      <c r="F81" s="5"/>
      <c r="H81" s="19"/>
    </row>
    <row r="82">
      <c r="A82" s="39">
        <v>44798.0</v>
      </c>
      <c r="B82" s="4" t="s">
        <v>54</v>
      </c>
      <c r="C82" s="21">
        <v>50.0</v>
      </c>
      <c r="E82" s="19"/>
      <c r="F82" s="5"/>
      <c r="H82" s="19"/>
    </row>
    <row r="83">
      <c r="A83" s="39">
        <v>44799.0</v>
      </c>
      <c r="B83" s="4" t="s">
        <v>358</v>
      </c>
      <c r="C83" s="21">
        <v>3.99</v>
      </c>
      <c r="E83" s="19"/>
      <c r="F83" s="5"/>
      <c r="H83" s="19"/>
    </row>
    <row r="84">
      <c r="A84" s="39">
        <v>44799.0</v>
      </c>
      <c r="B84" s="4" t="s">
        <v>47</v>
      </c>
      <c r="C84" s="21">
        <v>5.1</v>
      </c>
      <c r="E84" s="19"/>
      <c r="F84" s="5"/>
      <c r="H84" s="19"/>
    </row>
    <row r="85">
      <c r="A85" s="39">
        <v>44799.0</v>
      </c>
      <c r="B85" s="4" t="s">
        <v>45</v>
      </c>
      <c r="C85" s="21">
        <v>6.5</v>
      </c>
      <c r="E85" s="19"/>
      <c r="F85" s="5"/>
      <c r="H85" s="19"/>
    </row>
    <row r="86">
      <c r="A86" s="39">
        <v>44799.0</v>
      </c>
      <c r="B86" s="4" t="s">
        <v>45</v>
      </c>
      <c r="C86" s="21">
        <v>10.0</v>
      </c>
      <c r="E86" s="19"/>
      <c r="F86" s="5"/>
      <c r="H86" s="19"/>
    </row>
    <row r="87">
      <c r="A87" s="39">
        <v>44799.0</v>
      </c>
      <c r="B87" s="4" t="s">
        <v>62</v>
      </c>
      <c r="C87" s="21">
        <v>12.4</v>
      </c>
      <c r="E87" s="19"/>
      <c r="F87" s="5"/>
      <c r="H87" s="19"/>
    </row>
    <row r="88">
      <c r="A88" s="39">
        <v>44800.0</v>
      </c>
      <c r="B88" s="4" t="s">
        <v>127</v>
      </c>
      <c r="C88" s="21">
        <v>3.25</v>
      </c>
      <c r="E88" s="19"/>
      <c r="F88" s="5"/>
      <c r="H88" s="19"/>
    </row>
    <row r="89">
      <c r="A89" s="39">
        <v>44800.0</v>
      </c>
      <c r="B89" s="4" t="s">
        <v>512</v>
      </c>
      <c r="C89" s="21">
        <v>8.47</v>
      </c>
      <c r="E89" s="19"/>
      <c r="F89" s="5"/>
      <c r="H89" s="19"/>
    </row>
    <row r="90">
      <c r="A90" s="39">
        <v>44800.0</v>
      </c>
      <c r="B90" s="4" t="s">
        <v>475</v>
      </c>
      <c r="C90" s="21">
        <v>1.7</v>
      </c>
      <c r="E90" s="19"/>
      <c r="F90" s="5"/>
      <c r="H90" s="19"/>
    </row>
    <row r="91">
      <c r="A91" s="39">
        <v>44800.0</v>
      </c>
      <c r="B91" s="4" t="s">
        <v>127</v>
      </c>
      <c r="C91" s="21">
        <v>1.7</v>
      </c>
      <c r="E91" s="19"/>
      <c r="F91" s="5"/>
      <c r="H91" s="19"/>
    </row>
    <row r="92">
      <c r="A92" s="39">
        <v>44801.0</v>
      </c>
      <c r="B92" s="4" t="s">
        <v>53</v>
      </c>
      <c r="C92" s="21">
        <v>4.07</v>
      </c>
      <c r="E92" s="19"/>
      <c r="F92" s="5"/>
      <c r="H92" s="19"/>
    </row>
    <row r="93">
      <c r="A93" s="39">
        <v>44801.0</v>
      </c>
      <c r="B93" s="4" t="s">
        <v>127</v>
      </c>
      <c r="C93" s="21">
        <v>4.6</v>
      </c>
      <c r="E93" s="19"/>
      <c r="F93" s="5"/>
      <c r="H93" s="19"/>
    </row>
    <row r="94">
      <c r="A94" s="39">
        <v>44802.0</v>
      </c>
      <c r="B94" s="4" t="s">
        <v>517</v>
      </c>
      <c r="C94" s="21">
        <v>11.76</v>
      </c>
      <c r="E94" s="19"/>
      <c r="F94" s="5"/>
      <c r="H94" s="19"/>
    </row>
    <row r="95">
      <c r="A95" s="39">
        <v>44802.0</v>
      </c>
      <c r="B95" s="4" t="s">
        <v>47</v>
      </c>
      <c r="C95" s="21">
        <v>10.59</v>
      </c>
      <c r="E95" s="19"/>
      <c r="F95" s="5"/>
      <c r="H95" s="19"/>
    </row>
    <row r="96">
      <c r="A96" s="39">
        <v>44802.0</v>
      </c>
      <c r="B96" s="4" t="s">
        <v>517</v>
      </c>
      <c r="C96" s="21">
        <v>4.0</v>
      </c>
      <c r="E96" s="19"/>
      <c r="F96" s="5"/>
      <c r="H96" s="19"/>
    </row>
    <row r="97">
      <c r="A97" s="39">
        <v>44803.0</v>
      </c>
      <c r="B97" s="4" t="s">
        <v>47</v>
      </c>
      <c r="C97" s="21">
        <v>9.75</v>
      </c>
      <c r="E97" s="19"/>
      <c r="F97" s="5"/>
      <c r="H97" s="19"/>
    </row>
    <row r="98">
      <c r="A98" s="39">
        <v>44804.0</v>
      </c>
      <c r="B98" s="4" t="s">
        <v>532</v>
      </c>
      <c r="C98" s="21">
        <v>3.5</v>
      </c>
      <c r="E98" s="19"/>
      <c r="F98" s="5"/>
      <c r="H98" s="19"/>
    </row>
    <row r="99">
      <c r="A99" s="39">
        <v>44803.0</v>
      </c>
      <c r="B99" s="4" t="s">
        <v>512</v>
      </c>
      <c r="C99" s="21">
        <v>5.0</v>
      </c>
      <c r="E99" s="19"/>
      <c r="F99" s="5"/>
      <c r="H99" s="19"/>
    </row>
    <row r="100">
      <c r="A100" s="39">
        <v>44804.0</v>
      </c>
      <c r="B100" s="4" t="s">
        <v>140</v>
      </c>
      <c r="C100" s="21">
        <v>7.99</v>
      </c>
      <c r="E100" s="19"/>
      <c r="F100" s="5"/>
      <c r="H100" s="19"/>
    </row>
    <row r="101">
      <c r="A101" s="39">
        <v>44804.0</v>
      </c>
      <c r="B101" s="4" t="s">
        <v>56</v>
      </c>
      <c r="C101" s="4">
        <v>2.7</v>
      </c>
      <c r="E101" s="19"/>
      <c r="F101" s="5"/>
      <c r="H101" s="19"/>
    </row>
    <row r="102">
      <c r="A102" s="39">
        <v>44804.0</v>
      </c>
      <c r="B102" s="4" t="s">
        <v>56</v>
      </c>
      <c r="C102" s="21">
        <v>1.6</v>
      </c>
      <c r="E102" s="19"/>
      <c r="F102" s="5"/>
      <c r="H102" s="19"/>
    </row>
    <row r="103">
      <c r="A103" s="39">
        <v>44804.0</v>
      </c>
      <c r="B103" s="4" t="s">
        <v>66</v>
      </c>
      <c r="C103" s="21">
        <v>12.0</v>
      </c>
      <c r="E103" s="19"/>
      <c r="F103" s="5"/>
      <c r="H103" s="19"/>
    </row>
    <row r="104">
      <c r="A104" s="44"/>
      <c r="C104" s="5"/>
      <c r="E104" s="19"/>
      <c r="F104" s="5"/>
      <c r="H104" s="19"/>
    </row>
    <row r="105">
      <c r="A105" s="44"/>
      <c r="C105" s="5"/>
      <c r="E105" s="19"/>
      <c r="F105" s="5"/>
      <c r="H105" s="19"/>
    </row>
    <row r="106">
      <c r="A106" s="44"/>
      <c r="C106" s="5"/>
      <c r="E106" s="19"/>
      <c r="F106" s="5"/>
      <c r="H106" s="19"/>
    </row>
    <row r="107">
      <c r="A107" s="44"/>
      <c r="C107" s="5"/>
      <c r="E107" s="19"/>
      <c r="F107" s="5"/>
      <c r="H107" s="19"/>
    </row>
    <row r="108">
      <c r="A108" s="44"/>
      <c r="C108" s="5"/>
      <c r="E108" s="19"/>
      <c r="F108" s="5"/>
      <c r="H108" s="19"/>
    </row>
    <row r="109">
      <c r="A109" s="44"/>
      <c r="C109" s="5"/>
      <c r="E109" s="19"/>
      <c r="F109" s="5"/>
      <c r="H109" s="19"/>
    </row>
    <row r="110">
      <c r="A110" s="44"/>
      <c r="C110" s="5"/>
      <c r="E110" s="19"/>
      <c r="F110" s="5"/>
      <c r="H110" s="19"/>
    </row>
    <row r="111">
      <c r="A111" s="44"/>
      <c r="C111" s="5"/>
      <c r="E111" s="19"/>
      <c r="F111" s="5"/>
      <c r="H111" s="19"/>
    </row>
    <row r="112">
      <c r="A112" s="44"/>
      <c r="C112" s="5"/>
      <c r="E112" s="19"/>
      <c r="F112" s="5"/>
      <c r="H112" s="19"/>
    </row>
    <row r="113">
      <c r="A113" s="44"/>
      <c r="C113" s="5"/>
      <c r="E113" s="19"/>
      <c r="F113" s="5"/>
      <c r="H113" s="19"/>
    </row>
    <row r="114">
      <c r="A114" s="44"/>
      <c r="C114" s="5"/>
      <c r="E114" s="19"/>
      <c r="F114" s="5"/>
      <c r="H114" s="19"/>
    </row>
    <row r="115">
      <c r="A115" s="44"/>
      <c r="C115" s="5"/>
      <c r="E115" s="19"/>
      <c r="F115" s="5"/>
      <c r="H115" s="19"/>
    </row>
    <row r="116">
      <c r="A116" s="44"/>
      <c r="C116" s="5"/>
      <c r="E116" s="19"/>
      <c r="F116" s="5"/>
      <c r="H116" s="19"/>
    </row>
    <row r="117">
      <c r="A117" s="44"/>
      <c r="C117" s="5"/>
      <c r="E117" s="19"/>
      <c r="F117" s="5"/>
      <c r="H117" s="19"/>
    </row>
    <row r="118">
      <c r="A118" s="44"/>
      <c r="C118" s="5"/>
      <c r="E118" s="19"/>
      <c r="F118" s="5"/>
      <c r="H118" s="19"/>
    </row>
    <row r="119">
      <c r="A119" s="44"/>
      <c r="C119" s="5"/>
      <c r="E119" s="19"/>
      <c r="F119" s="5"/>
      <c r="H119" s="19"/>
    </row>
    <row r="120">
      <c r="A120" s="44"/>
      <c r="C120" s="5"/>
      <c r="E120" s="19"/>
      <c r="F120" s="5"/>
      <c r="H120" s="19"/>
    </row>
    <row r="121">
      <c r="A121" s="44"/>
      <c r="C121" s="5"/>
      <c r="E121" s="19"/>
      <c r="F121" s="5"/>
      <c r="H121" s="19"/>
    </row>
    <row r="122">
      <c r="A122" s="44"/>
      <c r="C122" s="5"/>
      <c r="E122" s="19"/>
      <c r="F122" s="5"/>
      <c r="H122" s="19"/>
    </row>
    <row r="123">
      <c r="A123" s="44"/>
      <c r="C123" s="5"/>
      <c r="E123" s="19"/>
      <c r="F123" s="5"/>
      <c r="H123" s="19"/>
    </row>
    <row r="124">
      <c r="A124" s="44"/>
      <c r="C124" s="5"/>
      <c r="E124" s="19"/>
      <c r="F124" s="5"/>
      <c r="H124" s="19"/>
    </row>
    <row r="125">
      <c r="A125" s="44"/>
      <c r="C125" s="5"/>
      <c r="E125" s="19"/>
      <c r="F125" s="5"/>
      <c r="H125" s="19"/>
    </row>
    <row r="126">
      <c r="A126" s="44"/>
      <c r="C126" s="5"/>
      <c r="E126" s="19"/>
      <c r="F126" s="5"/>
      <c r="H126" s="19"/>
    </row>
    <row r="127">
      <c r="A127" s="44"/>
      <c r="C127" s="5"/>
      <c r="E127" s="19"/>
      <c r="F127" s="5"/>
      <c r="H127" s="19"/>
    </row>
    <row r="128">
      <c r="A128" s="44"/>
      <c r="C128" s="5"/>
      <c r="E128" s="19"/>
      <c r="F128" s="5"/>
      <c r="H128" s="19"/>
    </row>
    <row r="129">
      <c r="A129" s="44"/>
      <c r="C129" s="5"/>
      <c r="E129" s="19"/>
      <c r="F129" s="5"/>
      <c r="H129" s="19"/>
    </row>
    <row r="130">
      <c r="A130" s="44"/>
      <c r="C130" s="5"/>
      <c r="E130" s="19"/>
      <c r="F130" s="5"/>
      <c r="H130" s="19"/>
    </row>
    <row r="131">
      <c r="A131" s="44"/>
      <c r="C131" s="5"/>
      <c r="E131" s="19"/>
      <c r="F131" s="5"/>
      <c r="H131" s="19"/>
    </row>
    <row r="132">
      <c r="A132" s="44"/>
      <c r="C132" s="5"/>
      <c r="E132" s="19"/>
      <c r="F132" s="5"/>
      <c r="H132" s="19"/>
    </row>
    <row r="133">
      <c r="A133" s="44"/>
      <c r="C133" s="5"/>
      <c r="E133" s="19"/>
      <c r="F133" s="5"/>
      <c r="H133" s="19"/>
    </row>
    <row r="134">
      <c r="A134" s="44"/>
      <c r="C134" s="5"/>
      <c r="E134" s="19"/>
      <c r="F134" s="5"/>
      <c r="H134" s="19"/>
    </row>
    <row r="135">
      <c r="A135" s="44"/>
      <c r="C135" s="5"/>
      <c r="E135" s="19"/>
      <c r="F135" s="5"/>
      <c r="H135" s="19"/>
    </row>
    <row r="136">
      <c r="A136" s="44"/>
      <c r="C136" s="5"/>
      <c r="E136" s="19"/>
      <c r="F136" s="5"/>
      <c r="H136" s="19"/>
    </row>
    <row r="137">
      <c r="A137" s="44"/>
      <c r="C137" s="5"/>
      <c r="E137" s="19"/>
      <c r="F137" s="5"/>
      <c r="H137" s="19"/>
    </row>
    <row r="138">
      <c r="A138" s="44"/>
      <c r="C138" s="5"/>
      <c r="E138" s="19"/>
      <c r="F138" s="5"/>
      <c r="H138" s="19"/>
    </row>
    <row r="139">
      <c r="A139" s="44"/>
      <c r="C139" s="5"/>
      <c r="E139" s="19"/>
      <c r="F139" s="5"/>
      <c r="H139" s="19"/>
    </row>
    <row r="140">
      <c r="A140" s="44"/>
      <c r="C140" s="5"/>
      <c r="E140" s="19"/>
      <c r="F140" s="5"/>
      <c r="H140" s="19"/>
    </row>
    <row r="141">
      <c r="A141" s="44"/>
      <c r="C141" s="5"/>
      <c r="E141" s="19"/>
      <c r="F141" s="5"/>
      <c r="H141" s="19"/>
    </row>
    <row r="142">
      <c r="A142" s="44"/>
      <c r="C142" s="5"/>
      <c r="E142" s="19"/>
      <c r="F142" s="5"/>
      <c r="H142" s="19"/>
    </row>
    <row r="143">
      <c r="A143" s="44"/>
      <c r="C143" s="5"/>
      <c r="E143" s="19"/>
      <c r="F143" s="5"/>
      <c r="H143" s="19"/>
    </row>
    <row r="144">
      <c r="A144" s="44"/>
      <c r="C144" s="5"/>
      <c r="E144" s="19"/>
      <c r="F144" s="5"/>
      <c r="H144" s="19"/>
    </row>
    <row r="145">
      <c r="A145" s="44"/>
      <c r="C145" s="5"/>
      <c r="E145" s="19"/>
      <c r="F145" s="5"/>
      <c r="H145" s="19"/>
    </row>
    <row r="146">
      <c r="A146" s="44"/>
      <c r="C146" s="5"/>
      <c r="E146" s="19"/>
      <c r="F146" s="5"/>
      <c r="H146" s="19"/>
    </row>
    <row r="147">
      <c r="A147" s="44"/>
      <c r="C147" s="5"/>
      <c r="E147" s="19"/>
      <c r="F147" s="5"/>
      <c r="H147" s="19"/>
    </row>
    <row r="148">
      <c r="A148" s="44"/>
      <c r="C148" s="5"/>
      <c r="E148" s="19"/>
      <c r="F148" s="5"/>
      <c r="H148" s="19"/>
    </row>
    <row r="149">
      <c r="A149" s="44"/>
      <c r="C149" s="5"/>
      <c r="E149" s="19"/>
      <c r="F149" s="5"/>
      <c r="H149" s="19"/>
    </row>
    <row r="150">
      <c r="A150" s="44"/>
      <c r="C150" s="5"/>
      <c r="E150" s="19"/>
      <c r="F150" s="5"/>
      <c r="H150" s="19"/>
    </row>
    <row r="151">
      <c r="A151" s="44"/>
      <c r="C151" s="5"/>
      <c r="E151" s="19"/>
      <c r="F151" s="5"/>
      <c r="H151" s="19"/>
    </row>
    <row r="152">
      <c r="A152" s="44"/>
      <c r="C152" s="5"/>
      <c r="E152" s="19"/>
      <c r="F152" s="5"/>
      <c r="H152" s="19"/>
    </row>
    <row r="153">
      <c r="A153" s="44"/>
      <c r="C153" s="5"/>
      <c r="E153" s="19"/>
      <c r="F153" s="5"/>
      <c r="H153" s="19"/>
    </row>
    <row r="154">
      <c r="A154" s="44"/>
      <c r="C154" s="5"/>
      <c r="E154" s="19"/>
      <c r="F154" s="5"/>
      <c r="H154" s="19"/>
    </row>
    <row r="155">
      <c r="A155" s="44"/>
      <c r="C155" s="5"/>
      <c r="E155" s="19"/>
      <c r="F155" s="5"/>
      <c r="H155" s="19"/>
    </row>
    <row r="156">
      <c r="A156" s="44"/>
      <c r="C156" s="5"/>
      <c r="E156" s="19"/>
      <c r="F156" s="5"/>
      <c r="H156" s="19"/>
    </row>
    <row r="157">
      <c r="A157" s="44"/>
      <c r="C157" s="5"/>
      <c r="E157" s="19"/>
      <c r="F157" s="5"/>
      <c r="H157" s="19"/>
    </row>
    <row r="158">
      <c r="A158" s="44"/>
      <c r="C158" s="5"/>
      <c r="E158" s="19"/>
      <c r="F158" s="5"/>
      <c r="H158" s="19"/>
    </row>
    <row r="159">
      <c r="A159" s="44"/>
      <c r="C159" s="5"/>
      <c r="E159" s="19"/>
      <c r="F159" s="5"/>
      <c r="H159" s="19"/>
    </row>
    <row r="160">
      <c r="A160" s="44"/>
      <c r="C160" s="5"/>
      <c r="E160" s="19"/>
      <c r="F160" s="5"/>
      <c r="H160" s="19"/>
    </row>
    <row r="161">
      <c r="A161" s="44"/>
      <c r="C161" s="5"/>
      <c r="E161" s="19"/>
      <c r="F161" s="5"/>
      <c r="H161" s="19"/>
    </row>
    <row r="162">
      <c r="A162" s="44"/>
      <c r="C162" s="5"/>
      <c r="E162" s="19"/>
      <c r="F162" s="5"/>
      <c r="H162" s="19"/>
    </row>
    <row r="163">
      <c r="A163" s="44"/>
      <c r="C163" s="5"/>
      <c r="E163" s="19"/>
      <c r="F163" s="5"/>
      <c r="H163" s="19"/>
    </row>
    <row r="164">
      <c r="A164" s="44"/>
      <c r="C164" s="5"/>
      <c r="E164" s="19"/>
      <c r="F164" s="5"/>
      <c r="H164" s="19"/>
    </row>
    <row r="165">
      <c r="A165" s="44"/>
      <c r="C165" s="5"/>
      <c r="E165" s="19"/>
      <c r="F165" s="5"/>
      <c r="H165" s="19"/>
    </row>
    <row r="166">
      <c r="A166" s="44"/>
      <c r="C166" s="5"/>
      <c r="E166" s="19"/>
      <c r="F166" s="5"/>
      <c r="H166" s="19"/>
    </row>
    <row r="167">
      <c r="A167" s="44"/>
      <c r="C167" s="5"/>
      <c r="E167" s="19"/>
      <c r="F167" s="5"/>
      <c r="H167" s="19"/>
    </row>
    <row r="168">
      <c r="A168" s="44"/>
      <c r="C168" s="5"/>
      <c r="E168" s="19"/>
      <c r="F168" s="5"/>
      <c r="H168" s="19"/>
    </row>
    <row r="169">
      <c r="A169" s="44"/>
      <c r="C169" s="5"/>
      <c r="E169" s="19"/>
      <c r="F169" s="5"/>
      <c r="H169" s="19"/>
    </row>
    <row r="170">
      <c r="A170" s="44"/>
      <c r="C170" s="5"/>
      <c r="E170" s="19"/>
      <c r="F170" s="5"/>
      <c r="H170" s="19"/>
    </row>
    <row r="171">
      <c r="A171" s="44"/>
      <c r="C171" s="5"/>
      <c r="E171" s="19"/>
      <c r="F171" s="5"/>
      <c r="H171" s="19"/>
    </row>
    <row r="172">
      <c r="A172" s="44"/>
      <c r="C172" s="5"/>
      <c r="E172" s="19"/>
      <c r="F172" s="5"/>
      <c r="H172" s="19"/>
    </row>
    <row r="173">
      <c r="A173" s="44"/>
      <c r="C173" s="5"/>
      <c r="E173" s="19"/>
      <c r="F173" s="5"/>
      <c r="H173" s="19"/>
    </row>
    <row r="174">
      <c r="A174" s="44"/>
      <c r="C174" s="5"/>
      <c r="E174" s="19"/>
      <c r="F174" s="5"/>
      <c r="H174" s="19"/>
    </row>
    <row r="175">
      <c r="A175" s="44"/>
      <c r="C175" s="5"/>
      <c r="E175" s="19"/>
      <c r="F175" s="5"/>
      <c r="H175" s="19"/>
    </row>
    <row r="176">
      <c r="A176" s="44"/>
      <c r="C176" s="5"/>
      <c r="E176" s="19"/>
      <c r="F176" s="5"/>
      <c r="H176" s="19"/>
    </row>
    <row r="177">
      <c r="A177" s="44"/>
      <c r="C177" s="5"/>
      <c r="E177" s="19"/>
      <c r="F177" s="5"/>
      <c r="H177" s="19"/>
    </row>
    <row r="178">
      <c r="A178" s="44"/>
      <c r="C178" s="5"/>
      <c r="E178" s="19"/>
      <c r="F178" s="5"/>
      <c r="H178" s="19"/>
    </row>
    <row r="179">
      <c r="A179" s="44"/>
      <c r="C179" s="5"/>
      <c r="E179" s="19"/>
      <c r="F179" s="5"/>
      <c r="H179" s="19"/>
    </row>
    <row r="180">
      <c r="A180" s="44"/>
      <c r="C180" s="5"/>
      <c r="E180" s="19"/>
      <c r="F180" s="5"/>
      <c r="H180" s="19"/>
    </row>
    <row r="181">
      <c r="A181" s="44"/>
      <c r="C181" s="5"/>
      <c r="E181" s="19"/>
      <c r="F181" s="5"/>
      <c r="H181" s="19"/>
    </row>
    <row r="182">
      <c r="A182" s="44"/>
      <c r="C182" s="5"/>
      <c r="E182" s="19"/>
      <c r="F182" s="5"/>
      <c r="H182" s="19"/>
    </row>
    <row r="183">
      <c r="A183" s="44"/>
      <c r="C183" s="5"/>
      <c r="E183" s="19"/>
      <c r="F183" s="5"/>
      <c r="H183" s="19"/>
    </row>
    <row r="184">
      <c r="A184" s="44"/>
      <c r="C184" s="5"/>
      <c r="E184" s="19"/>
      <c r="F184" s="5"/>
      <c r="H184" s="19"/>
    </row>
    <row r="185">
      <c r="A185" s="44"/>
      <c r="C185" s="5"/>
      <c r="E185" s="19"/>
      <c r="F185" s="5"/>
      <c r="H185" s="19"/>
    </row>
    <row r="186">
      <c r="A186" s="44"/>
      <c r="C186" s="5"/>
      <c r="E186" s="19"/>
      <c r="F186" s="5"/>
      <c r="H186" s="19"/>
    </row>
    <row r="187">
      <c r="A187" s="44"/>
      <c r="C187" s="5"/>
      <c r="E187" s="19"/>
      <c r="F187" s="5"/>
      <c r="H187" s="19"/>
    </row>
    <row r="188">
      <c r="A188" s="44"/>
      <c r="C188" s="5"/>
      <c r="E188" s="19"/>
      <c r="F188" s="5"/>
      <c r="H188" s="19"/>
    </row>
    <row r="189">
      <c r="A189" s="44"/>
      <c r="C189" s="5"/>
      <c r="E189" s="19"/>
      <c r="F189" s="5"/>
      <c r="H189" s="19"/>
    </row>
    <row r="190">
      <c r="A190" s="44"/>
      <c r="C190" s="5"/>
      <c r="E190" s="19"/>
      <c r="F190" s="5"/>
      <c r="H190" s="19"/>
    </row>
    <row r="191">
      <c r="A191" s="44"/>
      <c r="C191" s="5"/>
      <c r="E191" s="19"/>
      <c r="F191" s="5"/>
      <c r="H191" s="19"/>
    </row>
    <row r="192">
      <c r="A192" s="44"/>
      <c r="C192" s="5"/>
      <c r="E192" s="19"/>
      <c r="F192" s="5"/>
      <c r="H192" s="19"/>
    </row>
    <row r="193">
      <c r="A193" s="44"/>
      <c r="C193" s="5"/>
      <c r="E193" s="19"/>
      <c r="F193" s="5"/>
      <c r="H193" s="19"/>
    </row>
    <row r="194">
      <c r="A194" s="44"/>
      <c r="C194" s="5"/>
      <c r="E194" s="19"/>
      <c r="F194" s="5"/>
      <c r="H194" s="19"/>
    </row>
    <row r="195">
      <c r="A195" s="44"/>
      <c r="C195" s="5"/>
      <c r="E195" s="19"/>
      <c r="F195" s="5"/>
      <c r="H195" s="19"/>
    </row>
    <row r="196">
      <c r="A196" s="44"/>
      <c r="C196" s="5"/>
      <c r="E196" s="19"/>
      <c r="F196" s="5"/>
      <c r="H196" s="19"/>
    </row>
    <row r="197">
      <c r="A197" s="44"/>
      <c r="C197" s="5"/>
      <c r="E197" s="19"/>
      <c r="F197" s="5"/>
      <c r="H197" s="19"/>
    </row>
    <row r="198">
      <c r="A198" s="44"/>
      <c r="C198" s="5"/>
      <c r="E198" s="19"/>
      <c r="F198" s="5"/>
      <c r="H198" s="19"/>
    </row>
    <row r="199">
      <c r="A199" s="44"/>
      <c r="C199" s="5"/>
      <c r="E199" s="19"/>
      <c r="F199" s="5"/>
      <c r="H199" s="19"/>
    </row>
    <row r="200">
      <c r="A200" s="44"/>
      <c r="C200" s="5"/>
      <c r="E200" s="19"/>
      <c r="F200" s="5"/>
      <c r="H200" s="19"/>
    </row>
    <row r="201">
      <c r="A201" s="44"/>
      <c r="C201" s="5"/>
      <c r="E201" s="19"/>
      <c r="F201" s="5"/>
      <c r="H201" s="19"/>
    </row>
    <row r="202">
      <c r="A202" s="44"/>
      <c r="C202" s="5"/>
      <c r="E202" s="19"/>
      <c r="F202" s="5"/>
      <c r="H202" s="19"/>
    </row>
    <row r="203">
      <c r="A203" s="44"/>
      <c r="C203" s="5"/>
      <c r="E203" s="19"/>
      <c r="F203" s="5"/>
      <c r="H203" s="19"/>
    </row>
    <row r="204">
      <c r="A204" s="44"/>
      <c r="C204" s="5"/>
      <c r="E204" s="19"/>
      <c r="F204" s="5"/>
      <c r="H204" s="19"/>
    </row>
    <row r="205">
      <c r="A205" s="44"/>
      <c r="C205" s="5"/>
      <c r="E205" s="19"/>
      <c r="F205" s="5"/>
      <c r="H205" s="19"/>
    </row>
    <row r="206">
      <c r="A206" s="44"/>
      <c r="C206" s="5"/>
      <c r="E206" s="19"/>
      <c r="F206" s="5"/>
      <c r="H206" s="19"/>
    </row>
    <row r="207">
      <c r="A207" s="44"/>
      <c r="C207" s="5"/>
      <c r="E207" s="19"/>
      <c r="F207" s="5"/>
      <c r="H207" s="19"/>
    </row>
    <row r="208">
      <c r="A208" s="44"/>
      <c r="C208" s="5"/>
      <c r="E208" s="19"/>
      <c r="F208" s="5"/>
      <c r="H208" s="19"/>
    </row>
    <row r="209">
      <c r="A209" s="44"/>
      <c r="C209" s="5"/>
      <c r="E209" s="19"/>
      <c r="F209" s="5"/>
      <c r="H209" s="19"/>
    </row>
    <row r="210">
      <c r="A210" s="44"/>
      <c r="C210" s="5"/>
      <c r="E210" s="19"/>
      <c r="F210" s="5"/>
      <c r="H210" s="19"/>
    </row>
    <row r="211">
      <c r="A211" s="44"/>
      <c r="C211" s="5"/>
      <c r="E211" s="19"/>
      <c r="F211" s="5"/>
      <c r="H211" s="19"/>
    </row>
    <row r="212">
      <c r="A212" s="44"/>
      <c r="C212" s="5"/>
      <c r="E212" s="19"/>
      <c r="F212" s="5"/>
      <c r="H212" s="19"/>
    </row>
    <row r="213">
      <c r="A213" s="44"/>
      <c r="C213" s="5"/>
      <c r="E213" s="19"/>
      <c r="F213" s="5"/>
      <c r="H213" s="19"/>
    </row>
    <row r="214">
      <c r="A214" s="44"/>
      <c r="C214" s="5"/>
      <c r="E214" s="19"/>
      <c r="F214" s="5"/>
      <c r="H214" s="19"/>
    </row>
    <row r="215">
      <c r="A215" s="44"/>
      <c r="C215" s="5"/>
      <c r="E215" s="19"/>
      <c r="F215" s="5"/>
      <c r="H215" s="19"/>
    </row>
    <row r="216">
      <c r="A216" s="44"/>
      <c r="C216" s="5"/>
      <c r="E216" s="19"/>
      <c r="F216" s="5"/>
      <c r="H216" s="19"/>
    </row>
    <row r="217">
      <c r="A217" s="44"/>
      <c r="C217" s="5"/>
      <c r="E217" s="19"/>
      <c r="F217" s="5"/>
      <c r="H217" s="19"/>
    </row>
    <row r="218">
      <c r="A218" s="44"/>
      <c r="C218" s="5"/>
      <c r="E218" s="19"/>
      <c r="F218" s="5"/>
      <c r="H218" s="19"/>
    </row>
    <row r="219">
      <c r="A219" s="44"/>
      <c r="C219" s="5"/>
      <c r="E219" s="19"/>
      <c r="F219" s="5"/>
      <c r="H219" s="19"/>
    </row>
    <row r="220">
      <c r="A220" s="44"/>
      <c r="C220" s="5"/>
      <c r="E220" s="19"/>
      <c r="F220" s="5"/>
      <c r="H220" s="19"/>
    </row>
    <row r="221">
      <c r="A221" s="44"/>
      <c r="C221" s="5"/>
      <c r="E221" s="19"/>
      <c r="F221" s="5"/>
      <c r="H221" s="19"/>
    </row>
    <row r="222">
      <c r="A222" s="44"/>
      <c r="C222" s="5"/>
      <c r="E222" s="19"/>
      <c r="F222" s="5"/>
      <c r="H222" s="19"/>
    </row>
    <row r="223">
      <c r="A223" s="44"/>
      <c r="C223" s="5"/>
      <c r="E223" s="19"/>
      <c r="F223" s="5"/>
      <c r="H223" s="19"/>
    </row>
    <row r="224">
      <c r="A224" s="44"/>
      <c r="C224" s="5"/>
      <c r="E224" s="19"/>
      <c r="F224" s="5"/>
      <c r="H224" s="19"/>
    </row>
    <row r="225">
      <c r="A225" s="44"/>
      <c r="C225" s="5"/>
      <c r="E225" s="19"/>
      <c r="F225" s="5"/>
      <c r="H225" s="19"/>
    </row>
    <row r="226">
      <c r="A226" s="44"/>
      <c r="C226" s="5"/>
      <c r="E226" s="19"/>
      <c r="F226" s="5"/>
      <c r="H226" s="19"/>
    </row>
    <row r="227">
      <c r="A227" s="44"/>
      <c r="C227" s="5"/>
      <c r="E227" s="19"/>
      <c r="F227" s="5"/>
      <c r="H227" s="19"/>
    </row>
    <row r="228">
      <c r="A228" s="44"/>
      <c r="C228" s="5"/>
      <c r="E228" s="19"/>
      <c r="F228" s="5"/>
      <c r="H228" s="19"/>
    </row>
    <row r="229">
      <c r="A229" s="44"/>
      <c r="C229" s="5"/>
      <c r="E229" s="19"/>
      <c r="F229" s="5"/>
      <c r="H229" s="19"/>
    </row>
    <row r="230">
      <c r="A230" s="44"/>
      <c r="C230" s="5"/>
      <c r="E230" s="19"/>
      <c r="F230" s="5"/>
      <c r="H230" s="19"/>
    </row>
    <row r="231">
      <c r="A231" s="44"/>
      <c r="C231" s="5"/>
      <c r="E231" s="19"/>
      <c r="F231" s="5"/>
      <c r="H231" s="19"/>
    </row>
    <row r="232">
      <c r="A232" s="44"/>
      <c r="C232" s="5"/>
      <c r="E232" s="19"/>
      <c r="F232" s="5"/>
      <c r="H232" s="19"/>
    </row>
    <row r="233">
      <c r="A233" s="44"/>
      <c r="C233" s="5"/>
      <c r="E233" s="19"/>
      <c r="F233" s="5"/>
      <c r="H233" s="19"/>
    </row>
    <row r="234">
      <c r="A234" s="44"/>
      <c r="C234" s="5"/>
      <c r="E234" s="19"/>
      <c r="F234" s="5"/>
      <c r="H234" s="19"/>
    </row>
    <row r="235">
      <c r="A235" s="44"/>
      <c r="C235" s="5"/>
      <c r="E235" s="19"/>
      <c r="F235" s="5"/>
      <c r="H235" s="19"/>
    </row>
    <row r="236">
      <c r="A236" s="44"/>
      <c r="C236" s="5"/>
      <c r="E236" s="19"/>
      <c r="F236" s="5"/>
      <c r="H236" s="19"/>
    </row>
    <row r="237">
      <c r="A237" s="44"/>
      <c r="C237" s="5"/>
      <c r="E237" s="19"/>
      <c r="F237" s="5"/>
      <c r="H237" s="19"/>
    </row>
    <row r="238">
      <c r="A238" s="44"/>
      <c r="C238" s="5"/>
      <c r="E238" s="19"/>
      <c r="F238" s="5"/>
      <c r="H238" s="19"/>
    </row>
    <row r="239">
      <c r="A239" s="44"/>
      <c r="C239" s="5"/>
      <c r="E239" s="19"/>
      <c r="F239" s="5"/>
      <c r="H239" s="19"/>
    </row>
    <row r="240">
      <c r="A240" s="44"/>
      <c r="C240" s="5"/>
      <c r="E240" s="19"/>
      <c r="F240" s="5"/>
      <c r="H240" s="19"/>
    </row>
    <row r="241">
      <c r="A241" s="44"/>
      <c r="C241" s="5"/>
      <c r="E241" s="19"/>
      <c r="F241" s="5"/>
      <c r="H241" s="19"/>
    </row>
    <row r="242">
      <c r="A242" s="44"/>
      <c r="C242" s="5"/>
      <c r="E242" s="19"/>
      <c r="F242" s="5"/>
      <c r="H242" s="19"/>
    </row>
    <row r="243">
      <c r="A243" s="44"/>
      <c r="C243" s="5"/>
      <c r="E243" s="19"/>
      <c r="F243" s="5"/>
      <c r="H243" s="19"/>
    </row>
    <row r="244">
      <c r="A244" s="44"/>
      <c r="C244" s="5"/>
      <c r="E244" s="19"/>
      <c r="F244" s="5"/>
      <c r="H244" s="19"/>
    </row>
    <row r="245">
      <c r="A245" s="44"/>
      <c r="C245" s="5"/>
      <c r="E245" s="19"/>
      <c r="F245" s="5"/>
      <c r="H245" s="19"/>
    </row>
    <row r="246">
      <c r="A246" s="44"/>
      <c r="C246" s="5"/>
      <c r="E246" s="19"/>
      <c r="F246" s="5"/>
      <c r="H246" s="19"/>
    </row>
    <row r="247">
      <c r="A247" s="44"/>
      <c r="C247" s="5"/>
      <c r="E247" s="19"/>
      <c r="F247" s="5"/>
      <c r="H247" s="19"/>
    </row>
    <row r="248">
      <c r="A248" s="44"/>
      <c r="C248" s="5"/>
      <c r="E248" s="19"/>
      <c r="F248" s="5"/>
      <c r="H248" s="19"/>
    </row>
    <row r="249">
      <c r="A249" s="44"/>
      <c r="C249" s="5"/>
      <c r="E249" s="19"/>
      <c r="F249" s="5"/>
      <c r="H249" s="19"/>
    </row>
    <row r="250">
      <c r="A250" s="44"/>
      <c r="C250" s="5"/>
      <c r="E250" s="19"/>
      <c r="F250" s="5"/>
      <c r="H250" s="19"/>
    </row>
    <row r="251">
      <c r="A251" s="44"/>
      <c r="C251" s="5"/>
      <c r="E251" s="19"/>
      <c r="F251" s="5"/>
      <c r="H251" s="19"/>
    </row>
    <row r="252">
      <c r="A252" s="44"/>
      <c r="C252" s="5"/>
      <c r="E252" s="19"/>
      <c r="F252" s="5"/>
      <c r="H252" s="19"/>
    </row>
    <row r="253">
      <c r="A253" s="44"/>
      <c r="C253" s="5"/>
      <c r="E253" s="19"/>
      <c r="F253" s="5"/>
      <c r="H253" s="19"/>
    </row>
    <row r="254">
      <c r="A254" s="44"/>
      <c r="C254" s="5"/>
      <c r="E254" s="19"/>
      <c r="F254" s="5"/>
      <c r="H254" s="19"/>
    </row>
    <row r="255">
      <c r="A255" s="44"/>
      <c r="C255" s="5"/>
      <c r="E255" s="19"/>
      <c r="F255" s="5"/>
      <c r="H255" s="19"/>
    </row>
    <row r="256">
      <c r="A256" s="44"/>
      <c r="C256" s="5"/>
      <c r="E256" s="19"/>
      <c r="F256" s="5"/>
      <c r="H256" s="19"/>
    </row>
    <row r="257">
      <c r="A257" s="44"/>
      <c r="C257" s="5"/>
      <c r="E257" s="19"/>
      <c r="F257" s="5"/>
      <c r="H257" s="19"/>
    </row>
    <row r="258">
      <c r="A258" s="44"/>
      <c r="C258" s="5"/>
      <c r="E258" s="19"/>
      <c r="F258" s="5"/>
      <c r="H258" s="19"/>
    </row>
    <row r="259">
      <c r="A259" s="44"/>
      <c r="C259" s="5"/>
      <c r="E259" s="19"/>
      <c r="F259" s="5"/>
      <c r="H259" s="19"/>
    </row>
    <row r="260">
      <c r="A260" s="44"/>
      <c r="C260" s="5"/>
      <c r="E260" s="19"/>
      <c r="F260" s="5"/>
      <c r="H260" s="19"/>
    </row>
    <row r="261">
      <c r="A261" s="44"/>
      <c r="C261" s="5"/>
      <c r="E261" s="19"/>
      <c r="F261" s="5"/>
      <c r="H261" s="19"/>
    </row>
    <row r="262">
      <c r="A262" s="44"/>
      <c r="C262" s="5"/>
      <c r="E262" s="19"/>
      <c r="F262" s="5"/>
      <c r="H262" s="19"/>
    </row>
    <row r="263">
      <c r="A263" s="44"/>
      <c r="C263" s="5"/>
      <c r="E263" s="19"/>
      <c r="F263" s="5"/>
      <c r="H263" s="19"/>
    </row>
    <row r="264">
      <c r="A264" s="44"/>
      <c r="C264" s="5"/>
      <c r="E264" s="19"/>
      <c r="F264" s="5"/>
      <c r="H264" s="19"/>
    </row>
    <row r="265">
      <c r="A265" s="44"/>
      <c r="C265" s="5"/>
      <c r="E265" s="19"/>
      <c r="F265" s="5"/>
      <c r="H265" s="19"/>
    </row>
    <row r="266">
      <c r="A266" s="44"/>
      <c r="C266" s="5"/>
      <c r="E266" s="19"/>
      <c r="F266" s="5"/>
      <c r="H266" s="19"/>
    </row>
    <row r="267">
      <c r="A267" s="44"/>
      <c r="C267" s="5"/>
      <c r="E267" s="19"/>
      <c r="F267" s="5"/>
      <c r="H267" s="19"/>
    </row>
    <row r="268">
      <c r="A268" s="44"/>
      <c r="C268" s="5"/>
      <c r="E268" s="19"/>
      <c r="F268" s="5"/>
      <c r="H268" s="19"/>
    </row>
    <row r="269">
      <c r="A269" s="44"/>
      <c r="C269" s="5"/>
      <c r="E269" s="19"/>
      <c r="F269" s="5"/>
      <c r="H269" s="19"/>
    </row>
    <row r="270">
      <c r="A270" s="44"/>
      <c r="C270" s="5"/>
      <c r="E270" s="19"/>
      <c r="F270" s="5"/>
      <c r="H270" s="19"/>
    </row>
    <row r="271">
      <c r="A271" s="44"/>
      <c r="C271" s="5"/>
      <c r="E271" s="19"/>
      <c r="F271" s="5"/>
      <c r="H271" s="19"/>
    </row>
    <row r="272">
      <c r="A272" s="44"/>
      <c r="C272" s="5"/>
      <c r="E272" s="19"/>
      <c r="F272" s="5"/>
      <c r="H272" s="19"/>
    </row>
    <row r="273">
      <c r="A273" s="44"/>
      <c r="C273" s="5"/>
      <c r="E273" s="19"/>
      <c r="F273" s="5"/>
      <c r="H273" s="19"/>
    </row>
    <row r="274">
      <c r="A274" s="44"/>
      <c r="C274" s="5"/>
      <c r="E274" s="19"/>
      <c r="F274" s="5"/>
      <c r="H274" s="19"/>
    </row>
    <row r="275">
      <c r="A275" s="44"/>
      <c r="C275" s="5"/>
      <c r="E275" s="19"/>
      <c r="F275" s="5"/>
      <c r="H275" s="19"/>
    </row>
    <row r="276">
      <c r="A276" s="44"/>
      <c r="C276" s="5"/>
      <c r="E276" s="19"/>
      <c r="F276" s="5"/>
      <c r="H276" s="19"/>
    </row>
    <row r="277">
      <c r="A277" s="44"/>
      <c r="C277" s="5"/>
      <c r="E277" s="19"/>
      <c r="F277" s="5"/>
      <c r="H277" s="19"/>
    </row>
    <row r="278">
      <c r="A278" s="44"/>
      <c r="C278" s="5"/>
      <c r="E278" s="19"/>
      <c r="F278" s="5"/>
      <c r="H278" s="19"/>
    </row>
    <row r="279">
      <c r="A279" s="44"/>
      <c r="C279" s="5"/>
      <c r="E279" s="19"/>
      <c r="F279" s="5"/>
      <c r="H279" s="19"/>
    </row>
    <row r="280">
      <c r="A280" s="44"/>
      <c r="C280" s="5"/>
      <c r="E280" s="19"/>
      <c r="F280" s="5"/>
      <c r="H280" s="19"/>
    </row>
    <row r="281">
      <c r="A281" s="44"/>
      <c r="C281" s="5"/>
      <c r="E281" s="19"/>
      <c r="F281" s="5"/>
      <c r="H281" s="19"/>
    </row>
    <row r="282">
      <c r="A282" s="44"/>
      <c r="C282" s="5"/>
      <c r="E282" s="19"/>
      <c r="F282" s="5"/>
      <c r="H282" s="19"/>
    </row>
    <row r="283">
      <c r="A283" s="44"/>
      <c r="C283" s="5"/>
      <c r="E283" s="19"/>
      <c r="F283" s="5"/>
      <c r="H283" s="19"/>
    </row>
    <row r="284">
      <c r="A284" s="44"/>
      <c r="C284" s="5"/>
      <c r="E284" s="19"/>
      <c r="F284" s="5"/>
      <c r="H284" s="19"/>
    </row>
    <row r="285">
      <c r="A285" s="44"/>
      <c r="C285" s="5"/>
      <c r="E285" s="19"/>
      <c r="F285" s="5"/>
      <c r="H285" s="19"/>
    </row>
    <row r="286">
      <c r="A286" s="44"/>
      <c r="C286" s="5"/>
      <c r="E286" s="19"/>
      <c r="F286" s="5"/>
      <c r="H286" s="19"/>
    </row>
    <row r="287">
      <c r="A287" s="44"/>
      <c r="C287" s="5"/>
      <c r="E287" s="19"/>
      <c r="F287" s="5"/>
      <c r="H287" s="19"/>
    </row>
    <row r="288">
      <c r="A288" s="44"/>
      <c r="C288" s="5"/>
      <c r="E288" s="19"/>
      <c r="F288" s="5"/>
      <c r="H288" s="19"/>
    </row>
    <row r="289">
      <c r="A289" s="44"/>
      <c r="C289" s="5"/>
      <c r="E289" s="19"/>
      <c r="F289" s="5"/>
      <c r="H289" s="19"/>
    </row>
    <row r="290">
      <c r="A290" s="44"/>
      <c r="C290" s="5"/>
      <c r="E290" s="19"/>
      <c r="F290" s="5"/>
      <c r="H290" s="19"/>
    </row>
    <row r="291">
      <c r="A291" s="44"/>
      <c r="C291" s="5"/>
      <c r="E291" s="19"/>
      <c r="F291" s="5"/>
      <c r="H291" s="19"/>
    </row>
    <row r="292">
      <c r="A292" s="44"/>
      <c r="C292" s="5"/>
      <c r="E292" s="19"/>
      <c r="F292" s="5"/>
      <c r="H292" s="19"/>
    </row>
    <row r="293">
      <c r="A293" s="44"/>
      <c r="C293" s="5"/>
      <c r="E293" s="19"/>
      <c r="F293" s="5"/>
      <c r="H293" s="19"/>
    </row>
    <row r="294">
      <c r="A294" s="44"/>
      <c r="C294" s="5"/>
      <c r="E294" s="19"/>
      <c r="F294" s="5"/>
      <c r="H294" s="19"/>
    </row>
    <row r="295">
      <c r="A295" s="44"/>
      <c r="C295" s="5"/>
      <c r="E295" s="19"/>
      <c r="F295" s="5"/>
      <c r="H295" s="19"/>
    </row>
    <row r="296">
      <c r="A296" s="44"/>
      <c r="C296" s="5"/>
      <c r="E296" s="19"/>
      <c r="F296" s="5"/>
      <c r="H296" s="19"/>
    </row>
    <row r="297">
      <c r="A297" s="44"/>
      <c r="C297" s="5"/>
      <c r="E297" s="19"/>
      <c r="F297" s="5"/>
      <c r="H297" s="19"/>
    </row>
    <row r="298">
      <c r="A298" s="44"/>
      <c r="C298" s="5"/>
      <c r="E298" s="19"/>
      <c r="F298" s="5"/>
      <c r="H298" s="19"/>
    </row>
    <row r="299">
      <c r="A299" s="44"/>
      <c r="C299" s="5"/>
      <c r="E299" s="19"/>
      <c r="F299" s="5"/>
      <c r="H299" s="19"/>
    </row>
    <row r="300">
      <c r="A300" s="44"/>
      <c r="C300" s="5"/>
      <c r="E300" s="19"/>
      <c r="F300" s="5"/>
      <c r="H300" s="19"/>
    </row>
    <row r="301">
      <c r="A301" s="44"/>
      <c r="C301" s="5"/>
      <c r="E301" s="19"/>
      <c r="F301" s="5"/>
      <c r="H301" s="19"/>
    </row>
    <row r="302">
      <c r="A302" s="44"/>
      <c r="C302" s="5"/>
      <c r="E302" s="19"/>
      <c r="F302" s="5"/>
      <c r="H302" s="19"/>
    </row>
    <row r="303">
      <c r="A303" s="44"/>
      <c r="C303" s="5"/>
      <c r="E303" s="19"/>
      <c r="F303" s="5"/>
      <c r="H303" s="19"/>
    </row>
    <row r="304">
      <c r="A304" s="44"/>
      <c r="C304" s="5"/>
      <c r="E304" s="19"/>
      <c r="F304" s="5"/>
      <c r="H304" s="19"/>
    </row>
    <row r="305">
      <c r="A305" s="44"/>
      <c r="C305" s="5"/>
      <c r="E305" s="19"/>
      <c r="F305" s="5"/>
      <c r="H305" s="19"/>
    </row>
    <row r="306">
      <c r="A306" s="44"/>
      <c r="C306" s="5"/>
      <c r="E306" s="19"/>
      <c r="F306" s="5"/>
      <c r="H306" s="19"/>
    </row>
    <row r="307">
      <c r="A307" s="44"/>
      <c r="C307" s="5"/>
      <c r="E307" s="19"/>
      <c r="F307" s="5"/>
      <c r="H307" s="19"/>
    </row>
    <row r="308">
      <c r="A308" s="44"/>
      <c r="C308" s="5"/>
      <c r="E308" s="19"/>
      <c r="F308" s="5"/>
      <c r="H308" s="19"/>
    </row>
    <row r="309">
      <c r="A309" s="44"/>
      <c r="C309" s="5"/>
      <c r="E309" s="19"/>
      <c r="F309" s="5"/>
      <c r="H309" s="19"/>
    </row>
    <row r="310">
      <c r="A310" s="44"/>
      <c r="C310" s="5"/>
      <c r="E310" s="19"/>
      <c r="F310" s="5"/>
      <c r="H310" s="19"/>
    </row>
    <row r="311">
      <c r="A311" s="44"/>
      <c r="C311" s="5"/>
      <c r="E311" s="19"/>
      <c r="F311" s="5"/>
      <c r="H311" s="19"/>
    </row>
    <row r="312">
      <c r="A312" s="44"/>
      <c r="C312" s="5"/>
      <c r="E312" s="19"/>
      <c r="F312" s="5"/>
      <c r="H312" s="19"/>
    </row>
    <row r="313">
      <c r="A313" s="44"/>
      <c r="C313" s="5"/>
      <c r="E313" s="19"/>
      <c r="F313" s="5"/>
      <c r="H313" s="19"/>
    </row>
    <row r="314">
      <c r="A314" s="44"/>
      <c r="C314" s="5"/>
      <c r="E314" s="19"/>
      <c r="F314" s="5"/>
      <c r="H314" s="19"/>
    </row>
    <row r="315">
      <c r="A315" s="44"/>
      <c r="C315" s="5"/>
      <c r="E315" s="19"/>
      <c r="F315" s="5"/>
      <c r="H315" s="19"/>
    </row>
    <row r="316">
      <c r="A316" s="44"/>
      <c r="C316" s="5"/>
      <c r="E316" s="19"/>
      <c r="F316" s="5"/>
      <c r="H316" s="19"/>
    </row>
    <row r="317">
      <c r="A317" s="44"/>
      <c r="C317" s="5"/>
      <c r="E317" s="19"/>
      <c r="F317" s="5"/>
      <c r="H317" s="19"/>
    </row>
    <row r="318">
      <c r="A318" s="44"/>
      <c r="C318" s="5"/>
      <c r="E318" s="19"/>
      <c r="F318" s="5"/>
      <c r="H318" s="19"/>
    </row>
    <row r="319">
      <c r="A319" s="44"/>
      <c r="C319" s="5"/>
      <c r="E319" s="19"/>
      <c r="F319" s="5"/>
      <c r="H319" s="19"/>
    </row>
    <row r="320">
      <c r="A320" s="44"/>
      <c r="C320" s="5"/>
      <c r="E320" s="19"/>
      <c r="F320" s="5"/>
      <c r="H320" s="19"/>
    </row>
    <row r="321">
      <c r="A321" s="44"/>
      <c r="C321" s="5"/>
      <c r="E321" s="19"/>
      <c r="F321" s="5"/>
      <c r="H321" s="19"/>
    </row>
    <row r="322">
      <c r="A322" s="44"/>
      <c r="C322" s="5"/>
      <c r="E322" s="19"/>
      <c r="F322" s="5"/>
      <c r="H322" s="19"/>
    </row>
    <row r="323">
      <c r="A323" s="44"/>
      <c r="C323" s="5"/>
      <c r="E323" s="19"/>
      <c r="F323" s="5"/>
      <c r="H323" s="19"/>
    </row>
    <row r="324">
      <c r="A324" s="44"/>
      <c r="C324" s="5"/>
      <c r="E324" s="19"/>
      <c r="F324" s="5"/>
      <c r="H324" s="19"/>
    </row>
    <row r="325">
      <c r="A325" s="44"/>
      <c r="C325" s="5"/>
      <c r="E325" s="19"/>
      <c r="F325" s="5"/>
      <c r="H325" s="19"/>
    </row>
    <row r="326">
      <c r="A326" s="44"/>
      <c r="C326" s="5"/>
      <c r="E326" s="19"/>
      <c r="F326" s="5"/>
      <c r="H326" s="19"/>
    </row>
    <row r="327">
      <c r="A327" s="44"/>
      <c r="C327" s="5"/>
      <c r="E327" s="19"/>
      <c r="F327" s="5"/>
      <c r="H327" s="19"/>
    </row>
    <row r="328">
      <c r="A328" s="44"/>
      <c r="C328" s="5"/>
      <c r="E328" s="19"/>
      <c r="F328" s="5"/>
      <c r="H328" s="19"/>
    </row>
    <row r="329">
      <c r="A329" s="44"/>
      <c r="C329" s="5"/>
      <c r="E329" s="19"/>
      <c r="F329" s="5"/>
      <c r="H329" s="19"/>
    </row>
    <row r="330">
      <c r="A330" s="44"/>
      <c r="C330" s="5"/>
      <c r="E330" s="19"/>
      <c r="F330" s="5"/>
      <c r="H330" s="19"/>
    </row>
    <row r="331">
      <c r="A331" s="44"/>
      <c r="C331" s="5"/>
      <c r="E331" s="19"/>
      <c r="F331" s="5"/>
      <c r="H331" s="19"/>
    </row>
    <row r="332">
      <c r="A332" s="44"/>
      <c r="C332" s="5"/>
      <c r="E332" s="19"/>
      <c r="F332" s="5"/>
      <c r="H332" s="19"/>
    </row>
    <row r="333">
      <c r="A333" s="44"/>
      <c r="C333" s="5"/>
      <c r="E333" s="19"/>
      <c r="F333" s="5"/>
      <c r="H333" s="19"/>
    </row>
    <row r="334">
      <c r="A334" s="44"/>
      <c r="C334" s="5"/>
      <c r="E334" s="19"/>
      <c r="F334" s="5"/>
      <c r="H334" s="19"/>
    </row>
    <row r="335">
      <c r="A335" s="44"/>
      <c r="C335" s="5"/>
      <c r="E335" s="19"/>
      <c r="F335" s="5"/>
      <c r="H335" s="19"/>
    </row>
    <row r="336">
      <c r="A336" s="44"/>
      <c r="C336" s="5"/>
      <c r="E336" s="19"/>
      <c r="F336" s="5"/>
      <c r="H336" s="19"/>
    </row>
    <row r="337">
      <c r="A337" s="44"/>
      <c r="C337" s="5"/>
      <c r="E337" s="19"/>
      <c r="F337" s="5"/>
      <c r="H337" s="19"/>
    </row>
    <row r="338">
      <c r="A338" s="44"/>
      <c r="C338" s="5"/>
      <c r="E338" s="19"/>
      <c r="F338" s="5"/>
      <c r="H338" s="19"/>
    </row>
    <row r="339">
      <c r="A339" s="44"/>
      <c r="C339" s="5"/>
      <c r="E339" s="19"/>
      <c r="F339" s="5"/>
      <c r="H339" s="19"/>
    </row>
    <row r="340">
      <c r="A340" s="44"/>
      <c r="C340" s="5"/>
      <c r="E340" s="19"/>
      <c r="F340" s="5"/>
      <c r="H340" s="19"/>
    </row>
    <row r="341">
      <c r="A341" s="44"/>
      <c r="C341" s="5"/>
      <c r="E341" s="19"/>
      <c r="F341" s="5"/>
      <c r="H341" s="19"/>
    </row>
    <row r="342">
      <c r="A342" s="44"/>
      <c r="C342" s="5"/>
      <c r="E342" s="19"/>
      <c r="F342" s="5"/>
      <c r="H342" s="19"/>
    </row>
    <row r="343">
      <c r="A343" s="44"/>
      <c r="C343" s="5"/>
      <c r="E343" s="19"/>
      <c r="F343" s="5"/>
      <c r="H343" s="19"/>
    </row>
    <row r="344">
      <c r="A344" s="44"/>
      <c r="C344" s="5"/>
      <c r="E344" s="19"/>
      <c r="F344" s="5"/>
      <c r="H344" s="19"/>
    </row>
    <row r="345">
      <c r="A345" s="44"/>
      <c r="C345" s="5"/>
      <c r="E345" s="19"/>
      <c r="F345" s="5"/>
      <c r="H345" s="19"/>
    </row>
    <row r="346">
      <c r="A346" s="44"/>
      <c r="C346" s="5"/>
      <c r="E346" s="19"/>
      <c r="F346" s="5"/>
      <c r="H346" s="19"/>
    </row>
    <row r="347">
      <c r="A347" s="44"/>
      <c r="C347" s="5"/>
      <c r="E347" s="19"/>
      <c r="F347" s="5"/>
      <c r="H347" s="19"/>
    </row>
    <row r="348">
      <c r="A348" s="44"/>
      <c r="C348" s="5"/>
      <c r="E348" s="19"/>
      <c r="F348" s="5"/>
      <c r="H348" s="19"/>
    </row>
    <row r="349">
      <c r="A349" s="44"/>
      <c r="C349" s="5"/>
      <c r="E349" s="19"/>
      <c r="F349" s="5"/>
      <c r="H349" s="19"/>
    </row>
    <row r="350">
      <c r="A350" s="44"/>
      <c r="C350" s="5"/>
      <c r="E350" s="19"/>
      <c r="F350" s="5"/>
      <c r="H350" s="19"/>
    </row>
    <row r="351">
      <c r="A351" s="44"/>
      <c r="C351" s="5"/>
      <c r="E351" s="19"/>
      <c r="F351" s="5"/>
      <c r="H351" s="19"/>
    </row>
    <row r="352">
      <c r="A352" s="44"/>
      <c r="C352" s="5"/>
      <c r="E352" s="19"/>
      <c r="F352" s="5"/>
      <c r="H352" s="19"/>
    </row>
    <row r="353">
      <c r="A353" s="44"/>
      <c r="C353" s="5"/>
      <c r="E353" s="19"/>
      <c r="F353" s="5"/>
      <c r="H353" s="19"/>
    </row>
    <row r="354">
      <c r="A354" s="44"/>
      <c r="C354" s="5"/>
      <c r="E354" s="19"/>
      <c r="F354" s="5"/>
      <c r="H354" s="19"/>
    </row>
    <row r="355">
      <c r="A355" s="44"/>
      <c r="C355" s="5"/>
      <c r="E355" s="19"/>
      <c r="F355" s="5"/>
      <c r="H355" s="19"/>
    </row>
    <row r="356">
      <c r="A356" s="44"/>
      <c r="C356" s="5"/>
      <c r="E356" s="19"/>
      <c r="F356" s="5"/>
      <c r="H356" s="19"/>
    </row>
    <row r="357">
      <c r="A357" s="44"/>
      <c r="C357" s="5"/>
      <c r="E357" s="19"/>
      <c r="F357" s="5"/>
      <c r="H357" s="19"/>
    </row>
    <row r="358">
      <c r="A358" s="44"/>
      <c r="C358" s="5"/>
      <c r="E358" s="19"/>
      <c r="F358" s="5"/>
      <c r="H358" s="19"/>
    </row>
    <row r="359">
      <c r="A359" s="44"/>
      <c r="C359" s="5"/>
      <c r="E359" s="19"/>
      <c r="F359" s="5"/>
      <c r="H359" s="19"/>
    </row>
    <row r="360">
      <c r="A360" s="44"/>
      <c r="C360" s="5"/>
      <c r="E360" s="19"/>
      <c r="F360" s="5"/>
      <c r="H360" s="19"/>
    </row>
    <row r="361">
      <c r="A361" s="44"/>
      <c r="C361" s="5"/>
      <c r="E361" s="19"/>
      <c r="F361" s="5"/>
      <c r="H361" s="19"/>
    </row>
    <row r="362">
      <c r="A362" s="44"/>
      <c r="C362" s="5"/>
      <c r="E362" s="19"/>
      <c r="F362" s="5"/>
      <c r="H362" s="19"/>
    </row>
    <row r="363">
      <c r="A363" s="44"/>
      <c r="C363" s="5"/>
      <c r="E363" s="19"/>
      <c r="F363" s="5"/>
      <c r="H363" s="19"/>
    </row>
    <row r="364">
      <c r="A364" s="44"/>
      <c r="C364" s="5"/>
      <c r="E364" s="19"/>
      <c r="F364" s="5"/>
      <c r="H364" s="19"/>
    </row>
    <row r="365">
      <c r="A365" s="44"/>
      <c r="C365" s="5"/>
      <c r="E365" s="19"/>
      <c r="F365" s="5"/>
      <c r="H365" s="19"/>
    </row>
    <row r="366">
      <c r="A366" s="44"/>
      <c r="C366" s="5"/>
      <c r="E366" s="19"/>
      <c r="F366" s="5"/>
      <c r="H366" s="19"/>
    </row>
    <row r="367">
      <c r="A367" s="44"/>
      <c r="C367" s="5"/>
      <c r="E367" s="19"/>
      <c r="F367" s="5"/>
      <c r="H367" s="19"/>
    </row>
    <row r="368">
      <c r="A368" s="44"/>
      <c r="C368" s="5"/>
      <c r="E368" s="19"/>
      <c r="F368" s="5"/>
      <c r="H368" s="19"/>
    </row>
    <row r="369">
      <c r="A369" s="44"/>
      <c r="C369" s="5"/>
      <c r="E369" s="19"/>
      <c r="F369" s="5"/>
      <c r="H369" s="19"/>
    </row>
    <row r="370">
      <c r="A370" s="44"/>
      <c r="C370" s="5"/>
      <c r="E370" s="19"/>
      <c r="F370" s="5"/>
      <c r="H370" s="19"/>
    </row>
    <row r="371">
      <c r="A371" s="44"/>
      <c r="C371" s="5"/>
      <c r="E371" s="19"/>
      <c r="F371" s="5"/>
      <c r="H371" s="19"/>
    </row>
    <row r="372">
      <c r="A372" s="44"/>
      <c r="C372" s="5"/>
      <c r="E372" s="19"/>
      <c r="F372" s="5"/>
      <c r="H372" s="19"/>
    </row>
    <row r="373">
      <c r="A373" s="44"/>
      <c r="C373" s="5"/>
      <c r="E373" s="19"/>
      <c r="F373" s="5"/>
      <c r="H373" s="19"/>
    </row>
    <row r="374">
      <c r="A374" s="44"/>
      <c r="C374" s="5"/>
      <c r="E374" s="19"/>
      <c r="F374" s="5"/>
      <c r="H374" s="19"/>
    </row>
    <row r="375">
      <c r="A375" s="44"/>
      <c r="C375" s="5"/>
      <c r="E375" s="19"/>
      <c r="F375" s="5"/>
      <c r="H375" s="19"/>
    </row>
    <row r="376">
      <c r="A376" s="44"/>
      <c r="C376" s="5"/>
      <c r="E376" s="19"/>
      <c r="F376" s="5"/>
      <c r="H376" s="19"/>
    </row>
    <row r="377">
      <c r="A377" s="44"/>
      <c r="C377" s="5"/>
      <c r="E377" s="19"/>
      <c r="F377" s="5"/>
      <c r="H377" s="19"/>
    </row>
    <row r="378">
      <c r="A378" s="44"/>
      <c r="C378" s="5"/>
      <c r="E378" s="19"/>
      <c r="F378" s="5"/>
      <c r="H378" s="19"/>
    </row>
    <row r="379">
      <c r="A379" s="44"/>
      <c r="C379" s="5"/>
      <c r="E379" s="19"/>
      <c r="F379" s="5"/>
      <c r="H379" s="19"/>
    </row>
    <row r="380">
      <c r="A380" s="44"/>
      <c r="C380" s="5"/>
      <c r="E380" s="19"/>
      <c r="F380" s="5"/>
      <c r="H380" s="19"/>
    </row>
    <row r="381">
      <c r="A381" s="44"/>
      <c r="C381" s="5"/>
      <c r="E381" s="19"/>
      <c r="F381" s="5"/>
      <c r="H381" s="19"/>
    </row>
    <row r="382">
      <c r="A382" s="44"/>
      <c r="C382" s="5"/>
      <c r="E382" s="19"/>
      <c r="F382" s="5"/>
      <c r="H382" s="19"/>
    </row>
    <row r="383">
      <c r="A383" s="44"/>
      <c r="C383" s="5"/>
      <c r="E383" s="19"/>
      <c r="F383" s="5"/>
      <c r="H383" s="19"/>
    </row>
    <row r="384">
      <c r="A384" s="44"/>
      <c r="C384" s="5"/>
      <c r="E384" s="19"/>
      <c r="F384" s="5"/>
      <c r="H384" s="19"/>
    </row>
    <row r="385">
      <c r="A385" s="44"/>
      <c r="C385" s="5"/>
      <c r="E385" s="19"/>
      <c r="F385" s="5"/>
      <c r="H385" s="19"/>
    </row>
    <row r="386">
      <c r="A386" s="44"/>
      <c r="C386" s="5"/>
      <c r="E386" s="19"/>
      <c r="F386" s="5"/>
      <c r="H386" s="19"/>
    </row>
    <row r="387">
      <c r="A387" s="44"/>
      <c r="C387" s="5"/>
      <c r="E387" s="19"/>
      <c r="F387" s="5"/>
      <c r="H387" s="19"/>
    </row>
    <row r="388">
      <c r="A388" s="44"/>
      <c r="C388" s="5"/>
      <c r="E388" s="19"/>
      <c r="F388" s="5"/>
      <c r="H388" s="19"/>
    </row>
    <row r="389">
      <c r="A389" s="44"/>
      <c r="C389" s="5"/>
      <c r="E389" s="19"/>
      <c r="F389" s="5"/>
      <c r="H389" s="19"/>
    </row>
    <row r="390">
      <c r="A390" s="44"/>
      <c r="C390" s="5"/>
      <c r="E390" s="19"/>
      <c r="F390" s="5"/>
      <c r="H390" s="19"/>
    </row>
    <row r="391">
      <c r="A391" s="44"/>
      <c r="C391" s="5"/>
      <c r="E391" s="19"/>
      <c r="F391" s="5"/>
      <c r="H391" s="19"/>
    </row>
    <row r="392">
      <c r="A392" s="44"/>
      <c r="C392" s="5"/>
      <c r="E392" s="19"/>
      <c r="F392" s="5"/>
      <c r="H392" s="19"/>
    </row>
    <row r="393">
      <c r="A393" s="44"/>
      <c r="C393" s="5"/>
      <c r="E393" s="19"/>
      <c r="F393" s="5"/>
      <c r="H393" s="19"/>
    </row>
    <row r="394">
      <c r="A394" s="44"/>
      <c r="C394" s="5"/>
      <c r="E394" s="19"/>
      <c r="F394" s="5"/>
      <c r="H394" s="19"/>
    </row>
    <row r="395">
      <c r="A395" s="44"/>
      <c r="C395" s="5"/>
      <c r="E395" s="19"/>
      <c r="F395" s="5"/>
      <c r="H395" s="19"/>
    </row>
    <row r="396">
      <c r="A396" s="44"/>
      <c r="C396" s="5"/>
      <c r="E396" s="19"/>
      <c r="F396" s="5"/>
      <c r="H396" s="19"/>
    </row>
    <row r="397">
      <c r="A397" s="44"/>
      <c r="C397" s="5"/>
      <c r="E397" s="19"/>
      <c r="F397" s="5"/>
      <c r="H397" s="19"/>
    </row>
    <row r="398">
      <c r="A398" s="44"/>
      <c r="C398" s="5"/>
      <c r="E398" s="19"/>
      <c r="F398" s="5"/>
      <c r="H398" s="19"/>
    </row>
    <row r="399">
      <c r="A399" s="44"/>
      <c r="C399" s="5"/>
      <c r="E399" s="19"/>
      <c r="F399" s="5"/>
      <c r="H399" s="19"/>
    </row>
    <row r="400">
      <c r="A400" s="44"/>
      <c r="C400" s="5"/>
      <c r="E400" s="19"/>
      <c r="F400" s="5"/>
      <c r="H400" s="19"/>
    </row>
    <row r="401">
      <c r="A401" s="44"/>
      <c r="C401" s="5"/>
      <c r="E401" s="19"/>
      <c r="F401" s="5"/>
      <c r="H401" s="19"/>
    </row>
    <row r="402">
      <c r="A402" s="44"/>
      <c r="C402" s="5"/>
      <c r="E402" s="19"/>
      <c r="F402" s="5"/>
      <c r="H402" s="19"/>
    </row>
    <row r="403">
      <c r="A403" s="44"/>
      <c r="C403" s="5"/>
      <c r="E403" s="19"/>
      <c r="F403" s="5"/>
      <c r="H403" s="19"/>
    </row>
    <row r="404">
      <c r="A404" s="44"/>
      <c r="C404" s="5"/>
      <c r="E404" s="19"/>
      <c r="F404" s="5"/>
      <c r="H404" s="19"/>
    </row>
    <row r="405">
      <c r="A405" s="44"/>
      <c r="C405" s="5"/>
      <c r="E405" s="19"/>
      <c r="F405" s="5"/>
      <c r="H405" s="19"/>
    </row>
    <row r="406">
      <c r="A406" s="44"/>
      <c r="C406" s="5"/>
      <c r="E406" s="19"/>
      <c r="F406" s="5"/>
      <c r="H406" s="19"/>
    </row>
    <row r="407">
      <c r="A407" s="44"/>
      <c r="C407" s="5"/>
      <c r="E407" s="19"/>
      <c r="F407" s="5"/>
      <c r="H407" s="19"/>
    </row>
    <row r="408">
      <c r="A408" s="44"/>
      <c r="C408" s="5"/>
      <c r="E408" s="19"/>
      <c r="F408" s="5"/>
      <c r="H408" s="19"/>
    </row>
    <row r="409">
      <c r="A409" s="44"/>
      <c r="C409" s="5"/>
      <c r="E409" s="19"/>
      <c r="F409" s="5"/>
      <c r="H409" s="19"/>
    </row>
    <row r="410">
      <c r="A410" s="44"/>
      <c r="C410" s="5"/>
      <c r="E410" s="19"/>
      <c r="F410" s="5"/>
      <c r="H410" s="19"/>
    </row>
    <row r="411">
      <c r="A411" s="44"/>
      <c r="C411" s="5"/>
      <c r="E411" s="19"/>
      <c r="F411" s="5"/>
      <c r="H411" s="19"/>
    </row>
    <row r="412">
      <c r="A412" s="44"/>
      <c r="C412" s="5"/>
      <c r="E412" s="19"/>
      <c r="F412" s="5"/>
      <c r="H412" s="19"/>
    </row>
    <row r="413">
      <c r="A413" s="44"/>
      <c r="C413" s="5"/>
      <c r="E413" s="19"/>
      <c r="F413" s="5"/>
      <c r="H413" s="19"/>
    </row>
    <row r="414">
      <c r="A414" s="44"/>
      <c r="C414" s="5"/>
      <c r="E414" s="19"/>
      <c r="F414" s="5"/>
      <c r="H414" s="19"/>
    </row>
    <row r="415">
      <c r="A415" s="44"/>
      <c r="C415" s="5"/>
      <c r="E415" s="19"/>
      <c r="F415" s="5"/>
      <c r="H415" s="19"/>
    </row>
    <row r="416">
      <c r="A416" s="44"/>
      <c r="C416" s="5"/>
      <c r="E416" s="19"/>
      <c r="F416" s="5"/>
      <c r="H416" s="19"/>
    </row>
    <row r="417">
      <c r="A417" s="44"/>
      <c r="C417" s="5"/>
      <c r="E417" s="19"/>
      <c r="F417" s="5"/>
      <c r="H417" s="19"/>
    </row>
    <row r="418">
      <c r="A418" s="44"/>
      <c r="C418" s="5"/>
      <c r="E418" s="19"/>
      <c r="F418" s="5"/>
      <c r="H418" s="19"/>
    </row>
    <row r="419">
      <c r="A419" s="44"/>
      <c r="C419" s="5"/>
      <c r="E419" s="19"/>
      <c r="F419" s="5"/>
      <c r="H419" s="19"/>
    </row>
    <row r="420">
      <c r="A420" s="44"/>
      <c r="C420" s="5"/>
      <c r="E420" s="19"/>
      <c r="F420" s="5"/>
      <c r="H420" s="19"/>
    </row>
    <row r="421">
      <c r="A421" s="44"/>
      <c r="C421" s="5"/>
      <c r="E421" s="19"/>
      <c r="F421" s="5"/>
      <c r="H421" s="19"/>
    </row>
    <row r="422">
      <c r="A422" s="44"/>
      <c r="C422" s="5"/>
      <c r="E422" s="19"/>
      <c r="F422" s="5"/>
      <c r="H422" s="19"/>
    </row>
    <row r="423">
      <c r="A423" s="44"/>
      <c r="C423" s="5"/>
      <c r="E423" s="19"/>
      <c r="F423" s="5"/>
      <c r="H423" s="19"/>
    </row>
    <row r="424">
      <c r="A424" s="44"/>
      <c r="C424" s="5"/>
      <c r="E424" s="19"/>
      <c r="F424" s="5"/>
      <c r="H424" s="19"/>
    </row>
    <row r="425">
      <c r="A425" s="44"/>
      <c r="C425" s="5"/>
      <c r="E425" s="19"/>
      <c r="F425" s="5"/>
      <c r="H425" s="19"/>
    </row>
    <row r="426">
      <c r="A426" s="44"/>
      <c r="C426" s="5"/>
      <c r="E426" s="19"/>
      <c r="F426" s="5"/>
      <c r="H426" s="19"/>
    </row>
    <row r="427">
      <c r="A427" s="44"/>
      <c r="C427" s="5"/>
      <c r="E427" s="19"/>
      <c r="F427" s="5"/>
      <c r="H427" s="19"/>
    </row>
    <row r="428">
      <c r="A428" s="44"/>
      <c r="C428" s="5"/>
      <c r="E428" s="19"/>
      <c r="F428" s="5"/>
      <c r="H428" s="19"/>
    </row>
    <row r="429">
      <c r="A429" s="44"/>
      <c r="C429" s="5"/>
      <c r="E429" s="19"/>
      <c r="F429" s="5"/>
      <c r="H429" s="19"/>
    </row>
    <row r="430">
      <c r="A430" s="44"/>
      <c r="C430" s="5"/>
      <c r="E430" s="19"/>
      <c r="F430" s="5"/>
      <c r="H430" s="19"/>
    </row>
    <row r="431">
      <c r="A431" s="44"/>
      <c r="C431" s="5"/>
      <c r="E431" s="19"/>
      <c r="F431" s="5"/>
      <c r="H431" s="19"/>
    </row>
    <row r="432">
      <c r="A432" s="44"/>
      <c r="C432" s="5"/>
      <c r="E432" s="19"/>
      <c r="F432" s="5"/>
      <c r="H432" s="19"/>
    </row>
    <row r="433">
      <c r="A433" s="44"/>
      <c r="C433" s="5"/>
      <c r="E433" s="19"/>
      <c r="F433" s="5"/>
      <c r="H433" s="19"/>
    </row>
    <row r="434">
      <c r="A434" s="44"/>
      <c r="C434" s="5"/>
      <c r="E434" s="19"/>
      <c r="F434" s="5"/>
      <c r="H434" s="19"/>
    </row>
    <row r="435">
      <c r="A435" s="44"/>
      <c r="C435" s="5"/>
      <c r="E435" s="19"/>
      <c r="F435" s="5"/>
      <c r="H435" s="19"/>
    </row>
    <row r="436">
      <c r="A436" s="44"/>
      <c r="C436" s="5"/>
      <c r="E436" s="19"/>
      <c r="F436" s="5"/>
      <c r="H436" s="19"/>
    </row>
    <row r="437">
      <c r="A437" s="44"/>
      <c r="C437" s="5"/>
      <c r="E437" s="19"/>
      <c r="F437" s="5"/>
      <c r="H437" s="19"/>
    </row>
    <row r="438">
      <c r="A438" s="44"/>
      <c r="C438" s="5"/>
      <c r="E438" s="19"/>
      <c r="F438" s="5"/>
      <c r="H438" s="19"/>
    </row>
    <row r="439">
      <c r="A439" s="44"/>
      <c r="C439" s="5"/>
      <c r="E439" s="19"/>
      <c r="F439" s="5"/>
      <c r="H439" s="19"/>
    </row>
    <row r="440">
      <c r="A440" s="44"/>
      <c r="C440" s="5"/>
      <c r="E440" s="19"/>
      <c r="F440" s="5"/>
      <c r="H440" s="19"/>
    </row>
    <row r="441">
      <c r="A441" s="44"/>
      <c r="C441" s="5"/>
      <c r="E441" s="19"/>
      <c r="F441" s="5"/>
      <c r="H441" s="19"/>
    </row>
    <row r="442">
      <c r="A442" s="44"/>
      <c r="C442" s="5"/>
      <c r="E442" s="19"/>
      <c r="F442" s="5"/>
      <c r="H442" s="19"/>
    </row>
    <row r="443">
      <c r="A443" s="44"/>
      <c r="C443" s="5"/>
      <c r="E443" s="19"/>
      <c r="F443" s="5"/>
      <c r="H443" s="19"/>
    </row>
    <row r="444">
      <c r="A444" s="44"/>
      <c r="C444" s="5"/>
      <c r="E444" s="19"/>
      <c r="F444" s="5"/>
      <c r="H444" s="19"/>
    </row>
    <row r="445">
      <c r="A445" s="44"/>
      <c r="C445" s="5"/>
      <c r="E445" s="19"/>
      <c r="F445" s="5"/>
      <c r="H445" s="19"/>
    </row>
    <row r="446">
      <c r="A446" s="44"/>
      <c r="C446" s="5"/>
      <c r="E446" s="19"/>
      <c r="F446" s="5"/>
      <c r="H446" s="19"/>
    </row>
    <row r="447">
      <c r="A447" s="44"/>
      <c r="C447" s="5"/>
      <c r="E447" s="19"/>
      <c r="F447" s="5"/>
      <c r="H447" s="19"/>
    </row>
    <row r="448">
      <c r="A448" s="44"/>
      <c r="C448" s="5"/>
      <c r="E448" s="19"/>
      <c r="F448" s="5"/>
      <c r="H448" s="19"/>
    </row>
    <row r="449">
      <c r="A449" s="44"/>
      <c r="C449" s="5"/>
      <c r="E449" s="19"/>
      <c r="F449" s="5"/>
      <c r="H449" s="19"/>
    </row>
    <row r="450">
      <c r="A450" s="44"/>
      <c r="C450" s="5"/>
      <c r="E450" s="19"/>
      <c r="F450" s="5"/>
      <c r="H450" s="19"/>
    </row>
    <row r="451">
      <c r="A451" s="44"/>
      <c r="C451" s="5"/>
      <c r="E451" s="19"/>
      <c r="F451" s="5"/>
      <c r="H451" s="19"/>
    </row>
    <row r="452">
      <c r="A452" s="44"/>
      <c r="C452" s="5"/>
      <c r="E452" s="19"/>
      <c r="F452" s="5"/>
      <c r="H452" s="19"/>
    </row>
    <row r="453">
      <c r="A453" s="44"/>
      <c r="C453" s="5"/>
      <c r="E453" s="19"/>
      <c r="F453" s="5"/>
      <c r="H453" s="19"/>
    </row>
    <row r="454">
      <c r="A454" s="44"/>
      <c r="C454" s="5"/>
      <c r="E454" s="19"/>
      <c r="F454" s="5"/>
      <c r="H454" s="19"/>
    </row>
    <row r="455">
      <c r="A455" s="44"/>
      <c r="C455" s="5"/>
      <c r="E455" s="19"/>
      <c r="F455" s="5"/>
      <c r="H455" s="19"/>
    </row>
    <row r="456">
      <c r="A456" s="44"/>
      <c r="C456" s="5"/>
      <c r="E456" s="19"/>
      <c r="F456" s="5"/>
      <c r="H456" s="19"/>
    </row>
    <row r="457">
      <c r="A457" s="44"/>
      <c r="C457" s="5"/>
      <c r="E457" s="19"/>
      <c r="F457" s="5"/>
      <c r="H457" s="19"/>
    </row>
    <row r="458">
      <c r="A458" s="44"/>
      <c r="C458" s="5"/>
      <c r="E458" s="19"/>
      <c r="F458" s="5"/>
      <c r="H458" s="19"/>
    </row>
    <row r="459">
      <c r="A459" s="44"/>
      <c r="C459" s="5"/>
      <c r="E459" s="19"/>
      <c r="F459" s="5"/>
      <c r="H459" s="19"/>
    </row>
    <row r="460">
      <c r="A460" s="44"/>
      <c r="C460" s="5"/>
      <c r="E460" s="19"/>
      <c r="F460" s="5"/>
      <c r="H460" s="19"/>
    </row>
    <row r="461">
      <c r="A461" s="44"/>
      <c r="C461" s="5"/>
      <c r="E461" s="19"/>
      <c r="F461" s="5"/>
      <c r="H461" s="19"/>
    </row>
    <row r="462">
      <c r="A462" s="44"/>
      <c r="C462" s="5"/>
      <c r="E462" s="19"/>
      <c r="F462" s="5"/>
      <c r="H462" s="19"/>
    </row>
    <row r="463">
      <c r="A463" s="44"/>
      <c r="C463" s="5"/>
      <c r="E463" s="19"/>
      <c r="F463" s="5"/>
      <c r="H463" s="19"/>
    </row>
    <row r="464">
      <c r="A464" s="44"/>
      <c r="C464" s="5"/>
      <c r="E464" s="19"/>
      <c r="F464" s="5"/>
      <c r="H464" s="19"/>
    </row>
    <row r="465">
      <c r="A465" s="44"/>
      <c r="C465" s="5"/>
      <c r="E465" s="19"/>
      <c r="F465" s="5"/>
      <c r="H465" s="19"/>
    </row>
    <row r="466">
      <c r="A466" s="44"/>
      <c r="C466" s="5"/>
      <c r="E466" s="19"/>
      <c r="F466" s="5"/>
      <c r="H466" s="19"/>
    </row>
    <row r="467">
      <c r="A467" s="44"/>
      <c r="C467" s="5"/>
      <c r="E467" s="19"/>
      <c r="F467" s="5"/>
      <c r="H467" s="19"/>
    </row>
    <row r="468">
      <c r="A468" s="44"/>
      <c r="C468" s="5"/>
      <c r="E468" s="19"/>
      <c r="F468" s="5"/>
      <c r="H468" s="19"/>
    </row>
    <row r="469">
      <c r="A469" s="44"/>
      <c r="C469" s="5"/>
      <c r="E469" s="19"/>
      <c r="F469" s="5"/>
      <c r="H469" s="19"/>
    </row>
    <row r="470">
      <c r="A470" s="44"/>
      <c r="C470" s="5"/>
      <c r="E470" s="19"/>
      <c r="F470" s="5"/>
      <c r="H470" s="19"/>
    </row>
    <row r="471">
      <c r="A471" s="44"/>
      <c r="C471" s="5"/>
      <c r="E471" s="19"/>
      <c r="F471" s="5"/>
      <c r="H471" s="19"/>
    </row>
    <row r="472">
      <c r="A472" s="44"/>
      <c r="C472" s="5"/>
      <c r="E472" s="19"/>
      <c r="F472" s="5"/>
      <c r="H472" s="19"/>
    </row>
    <row r="473">
      <c r="A473" s="44"/>
      <c r="C473" s="5"/>
      <c r="E473" s="19"/>
      <c r="F473" s="5"/>
      <c r="H473" s="19"/>
    </row>
    <row r="474">
      <c r="A474" s="44"/>
      <c r="C474" s="5"/>
      <c r="E474" s="19"/>
      <c r="F474" s="5"/>
      <c r="H474" s="19"/>
    </row>
    <row r="475">
      <c r="A475" s="44"/>
      <c r="C475" s="5"/>
      <c r="E475" s="19"/>
      <c r="F475" s="5"/>
      <c r="H475" s="19"/>
    </row>
    <row r="476">
      <c r="A476" s="44"/>
      <c r="C476" s="5"/>
      <c r="E476" s="19"/>
      <c r="F476" s="5"/>
      <c r="H476" s="19"/>
    </row>
    <row r="477">
      <c r="A477" s="44"/>
      <c r="C477" s="5"/>
      <c r="E477" s="19"/>
      <c r="F477" s="5"/>
      <c r="H477" s="19"/>
    </row>
    <row r="478">
      <c r="A478" s="44"/>
      <c r="C478" s="5"/>
      <c r="E478" s="19"/>
      <c r="F478" s="5"/>
      <c r="H478" s="19"/>
    </row>
    <row r="479">
      <c r="A479" s="44"/>
      <c r="C479" s="5"/>
      <c r="E479" s="19"/>
      <c r="F479" s="5"/>
      <c r="H479" s="19"/>
    </row>
    <row r="480">
      <c r="A480" s="44"/>
      <c r="C480" s="5"/>
      <c r="E480" s="19"/>
      <c r="F480" s="5"/>
      <c r="H480" s="19"/>
    </row>
    <row r="481">
      <c r="A481" s="44"/>
      <c r="C481" s="5"/>
      <c r="E481" s="19"/>
      <c r="F481" s="5"/>
      <c r="H481" s="19"/>
    </row>
    <row r="482">
      <c r="A482" s="44"/>
      <c r="C482" s="5"/>
      <c r="E482" s="19"/>
      <c r="F482" s="5"/>
      <c r="H482" s="19"/>
    </row>
    <row r="483">
      <c r="A483" s="44"/>
      <c r="C483" s="5"/>
      <c r="E483" s="19"/>
      <c r="F483" s="5"/>
      <c r="H483" s="19"/>
    </row>
    <row r="484">
      <c r="A484" s="44"/>
      <c r="C484" s="5"/>
      <c r="E484" s="19"/>
      <c r="F484" s="5"/>
      <c r="H484" s="19"/>
    </row>
    <row r="485">
      <c r="A485" s="44"/>
      <c r="C485" s="5"/>
      <c r="E485" s="19"/>
      <c r="F485" s="5"/>
      <c r="H485" s="19"/>
    </row>
    <row r="486">
      <c r="A486" s="44"/>
      <c r="C486" s="5"/>
      <c r="E486" s="19"/>
      <c r="F486" s="5"/>
      <c r="H486" s="19"/>
    </row>
    <row r="487">
      <c r="A487" s="44"/>
      <c r="C487" s="5"/>
      <c r="E487" s="19"/>
      <c r="F487" s="5"/>
      <c r="H487" s="19"/>
    </row>
    <row r="488">
      <c r="A488" s="44"/>
      <c r="C488" s="5"/>
      <c r="E488" s="19"/>
      <c r="F488" s="5"/>
      <c r="H488" s="19"/>
    </row>
    <row r="489">
      <c r="A489" s="44"/>
      <c r="C489" s="5"/>
      <c r="E489" s="19"/>
      <c r="F489" s="5"/>
      <c r="H489" s="19"/>
    </row>
    <row r="490">
      <c r="A490" s="44"/>
      <c r="C490" s="5"/>
      <c r="E490" s="19"/>
      <c r="F490" s="5"/>
      <c r="H490" s="19"/>
    </row>
    <row r="491">
      <c r="A491" s="44"/>
      <c r="C491" s="5"/>
      <c r="E491" s="19"/>
      <c r="F491" s="5"/>
      <c r="H491" s="19"/>
    </row>
    <row r="492">
      <c r="A492" s="44"/>
      <c r="C492" s="5"/>
      <c r="E492" s="19"/>
      <c r="F492" s="5"/>
      <c r="H492" s="19"/>
    </row>
    <row r="493">
      <c r="A493" s="44"/>
      <c r="C493" s="5"/>
      <c r="E493" s="19"/>
      <c r="F493" s="5"/>
      <c r="H493" s="19"/>
    </row>
    <row r="494">
      <c r="A494" s="44"/>
      <c r="C494" s="5"/>
      <c r="E494" s="19"/>
      <c r="F494" s="5"/>
      <c r="H494" s="19"/>
    </row>
    <row r="495">
      <c r="A495" s="44"/>
      <c r="C495" s="5"/>
      <c r="E495" s="19"/>
      <c r="F495" s="5"/>
      <c r="H495" s="19"/>
    </row>
    <row r="496">
      <c r="A496" s="44"/>
      <c r="C496" s="5"/>
      <c r="E496" s="19"/>
      <c r="F496" s="5"/>
      <c r="H496" s="19"/>
    </row>
    <row r="497">
      <c r="A497" s="44"/>
      <c r="C497" s="5"/>
      <c r="E497" s="19"/>
      <c r="F497" s="5"/>
      <c r="H497" s="19"/>
    </row>
    <row r="498">
      <c r="A498" s="44"/>
      <c r="C498" s="5"/>
      <c r="E498" s="19"/>
      <c r="F498" s="5"/>
      <c r="H498" s="19"/>
    </row>
    <row r="499">
      <c r="A499" s="44"/>
      <c r="C499" s="5"/>
      <c r="E499" s="19"/>
      <c r="F499" s="5"/>
      <c r="H499" s="19"/>
    </row>
    <row r="500">
      <c r="A500" s="44"/>
      <c r="C500" s="5"/>
      <c r="E500" s="19"/>
      <c r="F500" s="5"/>
      <c r="H500" s="19"/>
    </row>
    <row r="501">
      <c r="A501" s="44"/>
      <c r="C501" s="5"/>
      <c r="E501" s="19"/>
      <c r="F501" s="5"/>
      <c r="H501" s="19"/>
    </row>
    <row r="502">
      <c r="A502" s="44"/>
      <c r="C502" s="5"/>
      <c r="E502" s="19"/>
      <c r="F502" s="5"/>
      <c r="H502" s="19"/>
    </row>
    <row r="503">
      <c r="A503" s="44"/>
      <c r="C503" s="5"/>
      <c r="E503" s="19"/>
      <c r="F503" s="5"/>
      <c r="H503" s="19"/>
    </row>
    <row r="504">
      <c r="A504" s="44"/>
      <c r="C504" s="5"/>
      <c r="E504" s="19"/>
      <c r="F504" s="5"/>
      <c r="H504" s="19"/>
    </row>
    <row r="505">
      <c r="A505" s="44"/>
      <c r="C505" s="5"/>
      <c r="E505" s="19"/>
      <c r="F505" s="5"/>
      <c r="H505" s="19"/>
    </row>
    <row r="506">
      <c r="A506" s="44"/>
      <c r="C506" s="5"/>
      <c r="E506" s="19"/>
      <c r="F506" s="5"/>
      <c r="H506" s="19"/>
    </row>
    <row r="507">
      <c r="A507" s="44"/>
      <c r="C507" s="5"/>
      <c r="E507" s="19"/>
      <c r="F507" s="5"/>
      <c r="H507" s="19"/>
    </row>
    <row r="508">
      <c r="A508" s="44"/>
      <c r="C508" s="5"/>
      <c r="E508" s="19"/>
      <c r="F508" s="5"/>
      <c r="H508" s="19"/>
    </row>
    <row r="509">
      <c r="A509" s="44"/>
      <c r="C509" s="5"/>
      <c r="E509" s="19"/>
      <c r="F509" s="5"/>
      <c r="H509" s="19"/>
    </row>
    <row r="510">
      <c r="A510" s="44"/>
      <c r="C510" s="5"/>
      <c r="E510" s="19"/>
      <c r="F510" s="5"/>
      <c r="H510" s="19"/>
    </row>
    <row r="511">
      <c r="A511" s="44"/>
      <c r="C511" s="5"/>
      <c r="E511" s="19"/>
      <c r="F511" s="5"/>
      <c r="H511" s="19"/>
    </row>
    <row r="512">
      <c r="A512" s="44"/>
      <c r="C512" s="5"/>
      <c r="E512" s="19"/>
      <c r="F512" s="5"/>
      <c r="H512" s="19"/>
    </row>
    <row r="513">
      <c r="A513" s="44"/>
      <c r="C513" s="5"/>
      <c r="E513" s="19"/>
      <c r="F513" s="5"/>
      <c r="H513" s="19"/>
    </row>
    <row r="514">
      <c r="A514" s="44"/>
      <c r="C514" s="5"/>
      <c r="E514" s="19"/>
      <c r="F514" s="5"/>
      <c r="H514" s="19"/>
    </row>
    <row r="515">
      <c r="A515" s="44"/>
      <c r="C515" s="5"/>
      <c r="E515" s="19"/>
      <c r="F515" s="5"/>
      <c r="H515" s="19"/>
    </row>
    <row r="516">
      <c r="A516" s="44"/>
      <c r="C516" s="5"/>
      <c r="E516" s="19"/>
      <c r="F516" s="5"/>
      <c r="H516" s="19"/>
    </row>
    <row r="517">
      <c r="A517" s="44"/>
      <c r="C517" s="5"/>
      <c r="E517" s="19"/>
      <c r="F517" s="5"/>
      <c r="H517" s="19"/>
    </row>
    <row r="518">
      <c r="A518" s="44"/>
      <c r="C518" s="5"/>
      <c r="E518" s="19"/>
      <c r="F518" s="5"/>
      <c r="H518" s="19"/>
    </row>
    <row r="519">
      <c r="A519" s="44"/>
      <c r="C519" s="5"/>
      <c r="E519" s="19"/>
      <c r="F519" s="5"/>
      <c r="H519" s="19"/>
    </row>
    <row r="520">
      <c r="A520" s="44"/>
      <c r="C520" s="5"/>
      <c r="E520" s="19"/>
      <c r="F520" s="5"/>
      <c r="H520" s="19"/>
    </row>
    <row r="521">
      <c r="A521" s="44"/>
      <c r="C521" s="5"/>
      <c r="E521" s="19"/>
      <c r="F521" s="5"/>
      <c r="H521" s="19"/>
    </row>
    <row r="522">
      <c r="A522" s="44"/>
      <c r="C522" s="5"/>
      <c r="E522" s="19"/>
      <c r="F522" s="5"/>
      <c r="H522" s="19"/>
    </row>
    <row r="523">
      <c r="A523" s="44"/>
      <c r="C523" s="5"/>
      <c r="E523" s="19"/>
      <c r="F523" s="5"/>
      <c r="H523" s="19"/>
    </row>
    <row r="524">
      <c r="A524" s="44"/>
      <c r="C524" s="5"/>
      <c r="E524" s="19"/>
      <c r="F524" s="5"/>
      <c r="H524" s="19"/>
    </row>
    <row r="525">
      <c r="A525" s="44"/>
      <c r="C525" s="5"/>
      <c r="E525" s="19"/>
      <c r="F525" s="5"/>
      <c r="H525" s="19"/>
    </row>
    <row r="526">
      <c r="A526" s="44"/>
      <c r="C526" s="5"/>
      <c r="E526" s="19"/>
      <c r="F526" s="5"/>
      <c r="H526" s="19"/>
    </row>
    <row r="527">
      <c r="A527" s="44"/>
      <c r="C527" s="5"/>
      <c r="E527" s="19"/>
      <c r="F527" s="5"/>
      <c r="H527" s="19"/>
    </row>
    <row r="528">
      <c r="A528" s="44"/>
      <c r="C528" s="5"/>
      <c r="E528" s="19"/>
      <c r="F528" s="5"/>
      <c r="H528" s="19"/>
    </row>
    <row r="529">
      <c r="A529" s="44"/>
      <c r="C529" s="5"/>
      <c r="E529" s="19"/>
      <c r="F529" s="5"/>
      <c r="H529" s="19"/>
    </row>
    <row r="530">
      <c r="A530" s="44"/>
      <c r="C530" s="5"/>
      <c r="E530" s="19"/>
      <c r="F530" s="5"/>
      <c r="H530" s="19"/>
    </row>
    <row r="531">
      <c r="A531" s="44"/>
      <c r="C531" s="5"/>
      <c r="E531" s="19"/>
      <c r="F531" s="5"/>
      <c r="H531" s="19"/>
    </row>
    <row r="532">
      <c r="A532" s="44"/>
      <c r="C532" s="5"/>
      <c r="E532" s="19"/>
      <c r="F532" s="5"/>
      <c r="H532" s="19"/>
    </row>
    <row r="533">
      <c r="A533" s="44"/>
      <c r="C533" s="5"/>
      <c r="E533" s="19"/>
      <c r="F533" s="5"/>
      <c r="H533" s="19"/>
    </row>
    <row r="534">
      <c r="A534" s="44"/>
      <c r="C534" s="5"/>
      <c r="E534" s="19"/>
      <c r="F534" s="5"/>
      <c r="H534" s="19"/>
    </row>
    <row r="535">
      <c r="A535" s="44"/>
      <c r="C535" s="5"/>
      <c r="E535" s="19"/>
      <c r="F535" s="5"/>
      <c r="H535" s="19"/>
    </row>
    <row r="536">
      <c r="A536" s="44"/>
      <c r="C536" s="5"/>
      <c r="E536" s="19"/>
      <c r="F536" s="5"/>
      <c r="H536" s="19"/>
    </row>
    <row r="537">
      <c r="A537" s="44"/>
      <c r="C537" s="5"/>
      <c r="E537" s="19"/>
      <c r="F537" s="5"/>
      <c r="H537" s="19"/>
    </row>
    <row r="538">
      <c r="A538" s="44"/>
      <c r="C538" s="5"/>
      <c r="E538" s="19"/>
      <c r="F538" s="5"/>
      <c r="H538" s="19"/>
    </row>
    <row r="539">
      <c r="A539" s="44"/>
      <c r="C539" s="5"/>
      <c r="E539" s="19"/>
      <c r="F539" s="5"/>
      <c r="H539" s="19"/>
    </row>
    <row r="540">
      <c r="A540" s="44"/>
      <c r="C540" s="5"/>
      <c r="E540" s="19"/>
      <c r="F540" s="5"/>
      <c r="H540" s="19"/>
    </row>
    <row r="541">
      <c r="A541" s="44"/>
      <c r="C541" s="5"/>
      <c r="E541" s="19"/>
      <c r="F541" s="5"/>
      <c r="H541" s="19"/>
    </row>
    <row r="542">
      <c r="A542" s="44"/>
      <c r="C542" s="5"/>
      <c r="E542" s="19"/>
      <c r="F542" s="5"/>
      <c r="H542" s="19"/>
    </row>
    <row r="543">
      <c r="A543" s="44"/>
      <c r="C543" s="5"/>
      <c r="E543" s="19"/>
      <c r="F543" s="5"/>
      <c r="H543" s="19"/>
    </row>
    <row r="544">
      <c r="A544" s="44"/>
      <c r="C544" s="5"/>
      <c r="E544" s="19"/>
      <c r="F544" s="5"/>
      <c r="H544" s="19"/>
    </row>
    <row r="545">
      <c r="A545" s="44"/>
      <c r="C545" s="5"/>
      <c r="E545" s="19"/>
      <c r="F545" s="5"/>
      <c r="H545" s="19"/>
    </row>
    <row r="546">
      <c r="A546" s="44"/>
      <c r="C546" s="5"/>
      <c r="E546" s="19"/>
      <c r="F546" s="5"/>
      <c r="H546" s="19"/>
    </row>
    <row r="547">
      <c r="A547" s="44"/>
      <c r="C547" s="5"/>
      <c r="E547" s="19"/>
      <c r="F547" s="5"/>
      <c r="H547" s="19"/>
    </row>
    <row r="548">
      <c r="A548" s="44"/>
      <c r="C548" s="5"/>
      <c r="E548" s="19"/>
      <c r="F548" s="5"/>
      <c r="H548" s="19"/>
    </row>
    <row r="549">
      <c r="A549" s="44"/>
      <c r="C549" s="5"/>
      <c r="E549" s="19"/>
      <c r="F549" s="5"/>
      <c r="H549" s="19"/>
    </row>
    <row r="550">
      <c r="A550" s="44"/>
      <c r="C550" s="5"/>
      <c r="E550" s="19"/>
      <c r="F550" s="5"/>
      <c r="H550" s="19"/>
    </row>
    <row r="551">
      <c r="A551" s="44"/>
      <c r="C551" s="5"/>
      <c r="E551" s="19"/>
      <c r="F551" s="5"/>
      <c r="H551" s="19"/>
    </row>
    <row r="552">
      <c r="A552" s="44"/>
      <c r="C552" s="5"/>
      <c r="E552" s="19"/>
      <c r="F552" s="5"/>
      <c r="H552" s="19"/>
    </row>
    <row r="553">
      <c r="A553" s="44"/>
      <c r="C553" s="5"/>
      <c r="E553" s="19"/>
      <c r="F553" s="5"/>
      <c r="H553" s="19"/>
    </row>
    <row r="554">
      <c r="A554" s="44"/>
      <c r="C554" s="5"/>
      <c r="E554" s="19"/>
      <c r="F554" s="5"/>
      <c r="H554" s="19"/>
    </row>
    <row r="555">
      <c r="A555" s="44"/>
      <c r="C555" s="5"/>
      <c r="E555" s="19"/>
      <c r="F555" s="5"/>
      <c r="H555" s="19"/>
    </row>
    <row r="556">
      <c r="A556" s="44"/>
      <c r="C556" s="5"/>
      <c r="E556" s="19"/>
      <c r="F556" s="5"/>
      <c r="H556" s="19"/>
    </row>
    <row r="557">
      <c r="A557" s="44"/>
      <c r="C557" s="5"/>
      <c r="E557" s="19"/>
      <c r="F557" s="5"/>
      <c r="H557" s="19"/>
    </row>
    <row r="558">
      <c r="A558" s="44"/>
      <c r="C558" s="5"/>
      <c r="E558" s="19"/>
      <c r="F558" s="5"/>
      <c r="H558" s="19"/>
    </row>
    <row r="559">
      <c r="A559" s="44"/>
      <c r="C559" s="5"/>
      <c r="E559" s="19"/>
      <c r="F559" s="5"/>
      <c r="H559" s="19"/>
    </row>
    <row r="560">
      <c r="A560" s="44"/>
      <c r="C560" s="5"/>
      <c r="E560" s="19"/>
      <c r="F560" s="5"/>
      <c r="H560" s="19"/>
    </row>
    <row r="561">
      <c r="A561" s="44"/>
      <c r="C561" s="5"/>
      <c r="E561" s="19"/>
      <c r="F561" s="5"/>
      <c r="H561" s="19"/>
    </row>
    <row r="562">
      <c r="A562" s="44"/>
      <c r="C562" s="5"/>
      <c r="E562" s="19"/>
      <c r="F562" s="5"/>
      <c r="H562" s="19"/>
    </row>
    <row r="563">
      <c r="A563" s="44"/>
      <c r="C563" s="5"/>
      <c r="E563" s="19"/>
      <c r="F563" s="5"/>
      <c r="H563" s="19"/>
    </row>
    <row r="564">
      <c r="A564" s="44"/>
      <c r="C564" s="5"/>
      <c r="E564" s="19"/>
      <c r="F564" s="5"/>
      <c r="H564" s="19"/>
    </row>
    <row r="565">
      <c r="A565" s="44"/>
      <c r="C565" s="5"/>
      <c r="E565" s="19"/>
      <c r="F565" s="5"/>
      <c r="H565" s="19"/>
    </row>
    <row r="566">
      <c r="A566" s="44"/>
      <c r="C566" s="5"/>
      <c r="E566" s="19"/>
      <c r="F566" s="5"/>
      <c r="H566" s="19"/>
    </row>
    <row r="567">
      <c r="A567" s="44"/>
      <c r="C567" s="5"/>
      <c r="E567" s="19"/>
      <c r="F567" s="5"/>
      <c r="H567" s="19"/>
    </row>
    <row r="568">
      <c r="A568" s="44"/>
      <c r="C568" s="5"/>
      <c r="E568" s="19"/>
      <c r="F568" s="5"/>
      <c r="H568" s="19"/>
    </row>
    <row r="569">
      <c r="A569" s="44"/>
      <c r="C569" s="5"/>
      <c r="E569" s="19"/>
      <c r="F569" s="5"/>
      <c r="H569" s="19"/>
    </row>
    <row r="570">
      <c r="A570" s="44"/>
      <c r="C570" s="5"/>
      <c r="E570" s="19"/>
      <c r="F570" s="5"/>
      <c r="H570" s="19"/>
    </row>
    <row r="571">
      <c r="A571" s="44"/>
      <c r="C571" s="5"/>
      <c r="E571" s="19"/>
      <c r="F571" s="5"/>
      <c r="H571" s="19"/>
    </row>
    <row r="572">
      <c r="A572" s="44"/>
      <c r="C572" s="5"/>
      <c r="E572" s="19"/>
      <c r="F572" s="5"/>
      <c r="H572" s="19"/>
    </row>
    <row r="573">
      <c r="A573" s="44"/>
      <c r="C573" s="5"/>
      <c r="E573" s="19"/>
      <c r="F573" s="5"/>
      <c r="H573" s="19"/>
    </row>
    <row r="574">
      <c r="A574" s="44"/>
      <c r="C574" s="5"/>
      <c r="E574" s="19"/>
      <c r="F574" s="5"/>
      <c r="H574" s="19"/>
    </row>
    <row r="575">
      <c r="A575" s="44"/>
      <c r="C575" s="5"/>
      <c r="E575" s="19"/>
      <c r="F575" s="5"/>
      <c r="H575" s="19"/>
    </row>
    <row r="576">
      <c r="A576" s="44"/>
      <c r="C576" s="5"/>
      <c r="E576" s="19"/>
      <c r="F576" s="5"/>
      <c r="H576" s="19"/>
    </row>
    <row r="577">
      <c r="A577" s="44"/>
      <c r="C577" s="5"/>
      <c r="E577" s="19"/>
      <c r="F577" s="5"/>
      <c r="H577" s="19"/>
    </row>
    <row r="578">
      <c r="A578" s="44"/>
      <c r="C578" s="5"/>
      <c r="E578" s="19"/>
      <c r="F578" s="5"/>
      <c r="H578" s="19"/>
    </row>
    <row r="579">
      <c r="A579" s="44"/>
      <c r="C579" s="5"/>
      <c r="E579" s="19"/>
      <c r="F579" s="5"/>
      <c r="H579" s="19"/>
    </row>
    <row r="580">
      <c r="A580" s="44"/>
      <c r="C580" s="5"/>
      <c r="E580" s="19"/>
      <c r="F580" s="5"/>
      <c r="H580" s="19"/>
    </row>
    <row r="581">
      <c r="A581" s="44"/>
      <c r="C581" s="5"/>
      <c r="E581" s="19"/>
      <c r="F581" s="5"/>
      <c r="H581" s="19"/>
    </row>
    <row r="582">
      <c r="A582" s="44"/>
      <c r="C582" s="5"/>
      <c r="E582" s="19"/>
      <c r="F582" s="5"/>
      <c r="H582" s="19"/>
    </row>
    <row r="583">
      <c r="A583" s="44"/>
      <c r="C583" s="5"/>
      <c r="E583" s="19"/>
      <c r="F583" s="5"/>
      <c r="H583" s="19"/>
    </row>
    <row r="584">
      <c r="A584" s="44"/>
      <c r="C584" s="5"/>
      <c r="E584" s="19"/>
      <c r="F584" s="5"/>
      <c r="H584" s="19"/>
    </row>
    <row r="585">
      <c r="A585" s="44"/>
      <c r="C585" s="5"/>
      <c r="E585" s="19"/>
      <c r="F585" s="5"/>
      <c r="H585" s="19"/>
    </row>
    <row r="586">
      <c r="A586" s="44"/>
      <c r="C586" s="5"/>
      <c r="E586" s="19"/>
      <c r="F586" s="5"/>
      <c r="H586" s="19"/>
    </row>
    <row r="587">
      <c r="A587" s="44"/>
      <c r="C587" s="5"/>
      <c r="E587" s="19"/>
      <c r="F587" s="5"/>
      <c r="H587" s="19"/>
    </row>
    <row r="588">
      <c r="A588" s="44"/>
      <c r="C588" s="5"/>
      <c r="E588" s="19"/>
      <c r="F588" s="5"/>
      <c r="H588" s="19"/>
    </row>
    <row r="589">
      <c r="A589" s="44"/>
      <c r="C589" s="5"/>
      <c r="E589" s="19"/>
      <c r="F589" s="5"/>
      <c r="H589" s="19"/>
    </row>
    <row r="590">
      <c r="A590" s="44"/>
      <c r="C590" s="5"/>
      <c r="E590" s="19"/>
      <c r="F590" s="5"/>
      <c r="H590" s="19"/>
    </row>
    <row r="591">
      <c r="A591" s="44"/>
      <c r="C591" s="5"/>
      <c r="E591" s="19"/>
      <c r="F591" s="5"/>
      <c r="H591" s="19"/>
    </row>
    <row r="592">
      <c r="A592" s="44"/>
      <c r="C592" s="5"/>
      <c r="E592" s="19"/>
      <c r="F592" s="5"/>
      <c r="H592" s="19"/>
    </row>
    <row r="593">
      <c r="A593" s="44"/>
      <c r="C593" s="5"/>
      <c r="E593" s="19"/>
      <c r="F593" s="5"/>
      <c r="H593" s="19"/>
    </row>
    <row r="594">
      <c r="A594" s="44"/>
      <c r="C594" s="5"/>
      <c r="E594" s="19"/>
      <c r="F594" s="5"/>
      <c r="H594" s="19"/>
    </row>
    <row r="595">
      <c r="A595" s="44"/>
      <c r="C595" s="5"/>
      <c r="E595" s="19"/>
      <c r="F595" s="5"/>
      <c r="H595" s="19"/>
    </row>
    <row r="596">
      <c r="A596" s="44"/>
      <c r="C596" s="5"/>
      <c r="E596" s="19"/>
      <c r="F596" s="5"/>
      <c r="H596" s="19"/>
    </row>
    <row r="597">
      <c r="A597" s="44"/>
      <c r="C597" s="5"/>
      <c r="E597" s="19"/>
      <c r="F597" s="5"/>
      <c r="H597" s="19"/>
    </row>
    <row r="598">
      <c r="A598" s="44"/>
      <c r="C598" s="5"/>
      <c r="E598" s="19"/>
      <c r="F598" s="5"/>
      <c r="H598" s="19"/>
    </row>
    <row r="599">
      <c r="A599" s="44"/>
      <c r="C599" s="5"/>
      <c r="E599" s="19"/>
      <c r="F599" s="5"/>
      <c r="H599" s="19"/>
    </row>
    <row r="600">
      <c r="A600" s="44"/>
      <c r="C600" s="5"/>
      <c r="E600" s="19"/>
      <c r="F600" s="5"/>
      <c r="H600" s="19"/>
    </row>
    <row r="601">
      <c r="A601" s="44"/>
      <c r="C601" s="5"/>
      <c r="E601" s="19"/>
      <c r="F601" s="5"/>
      <c r="H601" s="19"/>
    </row>
    <row r="602">
      <c r="A602" s="44"/>
      <c r="C602" s="5"/>
      <c r="E602" s="19"/>
      <c r="F602" s="5"/>
      <c r="H602" s="19"/>
    </row>
    <row r="603">
      <c r="A603" s="44"/>
      <c r="C603" s="5"/>
      <c r="E603" s="19"/>
      <c r="F603" s="5"/>
      <c r="H603" s="19"/>
    </row>
    <row r="604">
      <c r="A604" s="44"/>
      <c r="C604" s="5"/>
      <c r="E604" s="19"/>
      <c r="F604" s="5"/>
      <c r="H604" s="19"/>
    </row>
    <row r="605">
      <c r="A605" s="44"/>
      <c r="C605" s="5"/>
      <c r="E605" s="19"/>
      <c r="F605" s="5"/>
      <c r="H605" s="19"/>
    </row>
    <row r="606">
      <c r="A606" s="44"/>
      <c r="C606" s="5"/>
      <c r="E606" s="19"/>
      <c r="F606" s="5"/>
      <c r="H606" s="19"/>
    </row>
    <row r="607">
      <c r="A607" s="44"/>
      <c r="C607" s="5"/>
      <c r="E607" s="19"/>
      <c r="F607" s="5"/>
      <c r="H607" s="19"/>
    </row>
    <row r="608">
      <c r="A608" s="44"/>
      <c r="C608" s="5"/>
      <c r="E608" s="19"/>
      <c r="F608" s="5"/>
      <c r="H608" s="19"/>
    </row>
    <row r="609">
      <c r="A609" s="44"/>
      <c r="C609" s="5"/>
      <c r="E609" s="19"/>
      <c r="F609" s="5"/>
      <c r="H609" s="19"/>
    </row>
    <row r="610">
      <c r="A610" s="44"/>
      <c r="C610" s="5"/>
      <c r="E610" s="19"/>
      <c r="F610" s="5"/>
      <c r="H610" s="19"/>
    </row>
    <row r="611">
      <c r="A611" s="44"/>
      <c r="C611" s="5"/>
      <c r="E611" s="19"/>
      <c r="F611" s="5"/>
      <c r="H611" s="19"/>
    </row>
    <row r="612">
      <c r="A612" s="44"/>
      <c r="C612" s="5"/>
      <c r="E612" s="19"/>
      <c r="F612" s="5"/>
      <c r="H612" s="19"/>
    </row>
    <row r="613">
      <c r="A613" s="44"/>
      <c r="C613" s="5"/>
      <c r="E613" s="19"/>
      <c r="F613" s="5"/>
      <c r="H613" s="19"/>
    </row>
    <row r="614">
      <c r="A614" s="44"/>
      <c r="C614" s="5"/>
      <c r="E614" s="19"/>
      <c r="F614" s="5"/>
      <c r="H614" s="19"/>
    </row>
    <row r="615">
      <c r="A615" s="44"/>
      <c r="C615" s="5"/>
      <c r="E615" s="19"/>
      <c r="F615" s="5"/>
      <c r="H615" s="19"/>
    </row>
    <row r="616">
      <c r="A616" s="44"/>
      <c r="C616" s="5"/>
      <c r="E616" s="19"/>
      <c r="F616" s="5"/>
      <c r="H616" s="19"/>
    </row>
    <row r="617">
      <c r="A617" s="44"/>
      <c r="C617" s="5"/>
      <c r="E617" s="19"/>
      <c r="F617" s="5"/>
      <c r="H617" s="19"/>
    </row>
    <row r="618">
      <c r="A618" s="44"/>
      <c r="C618" s="5"/>
      <c r="E618" s="19"/>
      <c r="F618" s="5"/>
      <c r="H618" s="19"/>
    </row>
    <row r="619">
      <c r="A619" s="44"/>
      <c r="C619" s="5"/>
      <c r="E619" s="19"/>
      <c r="F619" s="5"/>
      <c r="H619" s="19"/>
    </row>
    <row r="620">
      <c r="A620" s="44"/>
      <c r="C620" s="5"/>
      <c r="E620" s="19"/>
      <c r="F620" s="5"/>
      <c r="H620" s="19"/>
    </row>
    <row r="621">
      <c r="A621" s="44"/>
      <c r="C621" s="5"/>
      <c r="E621" s="19"/>
      <c r="F621" s="5"/>
      <c r="H621" s="19"/>
    </row>
    <row r="622">
      <c r="A622" s="44"/>
      <c r="C622" s="5"/>
      <c r="E622" s="19"/>
      <c r="F622" s="5"/>
      <c r="H622" s="19"/>
    </row>
    <row r="623">
      <c r="A623" s="44"/>
      <c r="C623" s="5"/>
      <c r="E623" s="19"/>
      <c r="F623" s="5"/>
      <c r="H623" s="19"/>
    </row>
    <row r="624">
      <c r="A624" s="44"/>
      <c r="C624" s="5"/>
      <c r="E624" s="19"/>
      <c r="F624" s="5"/>
      <c r="H624" s="19"/>
    </row>
    <row r="625">
      <c r="A625" s="44"/>
      <c r="C625" s="5"/>
      <c r="E625" s="19"/>
      <c r="F625" s="5"/>
      <c r="H625" s="19"/>
    </row>
    <row r="626">
      <c r="A626" s="44"/>
      <c r="C626" s="5"/>
      <c r="E626" s="19"/>
      <c r="F626" s="5"/>
      <c r="H626" s="19"/>
    </row>
    <row r="627">
      <c r="A627" s="44"/>
      <c r="C627" s="5"/>
      <c r="E627" s="19"/>
      <c r="F627" s="5"/>
      <c r="H627" s="19"/>
    </row>
    <row r="628">
      <c r="A628" s="44"/>
      <c r="C628" s="5"/>
      <c r="E628" s="19"/>
      <c r="F628" s="5"/>
      <c r="H628" s="19"/>
    </row>
    <row r="629">
      <c r="A629" s="44"/>
      <c r="C629" s="5"/>
      <c r="E629" s="19"/>
      <c r="F629" s="5"/>
      <c r="H629" s="19"/>
    </row>
    <row r="630">
      <c r="A630" s="44"/>
      <c r="C630" s="5"/>
      <c r="E630" s="19"/>
      <c r="F630" s="5"/>
      <c r="H630" s="19"/>
    </row>
    <row r="631">
      <c r="A631" s="44"/>
      <c r="C631" s="5"/>
      <c r="E631" s="19"/>
      <c r="F631" s="5"/>
      <c r="H631" s="19"/>
    </row>
    <row r="632">
      <c r="A632" s="44"/>
      <c r="C632" s="5"/>
      <c r="E632" s="19"/>
      <c r="F632" s="5"/>
      <c r="H632" s="19"/>
    </row>
    <row r="633">
      <c r="A633" s="44"/>
      <c r="C633" s="5"/>
      <c r="E633" s="19"/>
      <c r="F633" s="5"/>
      <c r="H633" s="19"/>
    </row>
    <row r="634">
      <c r="A634" s="44"/>
      <c r="C634" s="5"/>
      <c r="E634" s="19"/>
      <c r="F634" s="5"/>
      <c r="H634" s="19"/>
    </row>
    <row r="635">
      <c r="A635" s="44"/>
      <c r="C635" s="5"/>
      <c r="E635" s="19"/>
      <c r="F635" s="5"/>
      <c r="H635" s="19"/>
    </row>
    <row r="636">
      <c r="A636" s="44"/>
      <c r="C636" s="5"/>
      <c r="E636" s="19"/>
      <c r="F636" s="5"/>
      <c r="H636" s="19"/>
    </row>
    <row r="637">
      <c r="A637" s="44"/>
      <c r="C637" s="5"/>
      <c r="E637" s="19"/>
      <c r="F637" s="5"/>
      <c r="H637" s="19"/>
    </row>
    <row r="638">
      <c r="A638" s="44"/>
      <c r="C638" s="5"/>
      <c r="E638" s="19"/>
      <c r="F638" s="5"/>
      <c r="H638" s="19"/>
    </row>
    <row r="639">
      <c r="A639" s="44"/>
      <c r="C639" s="5"/>
      <c r="E639" s="19"/>
      <c r="F639" s="5"/>
      <c r="H639" s="19"/>
    </row>
    <row r="640">
      <c r="A640" s="44"/>
      <c r="C640" s="5"/>
      <c r="E640" s="19"/>
      <c r="F640" s="5"/>
      <c r="H640" s="19"/>
    </row>
    <row r="641">
      <c r="A641" s="44"/>
      <c r="C641" s="5"/>
      <c r="E641" s="19"/>
      <c r="F641" s="5"/>
      <c r="H641" s="19"/>
    </row>
    <row r="642">
      <c r="A642" s="44"/>
      <c r="C642" s="5"/>
      <c r="E642" s="19"/>
      <c r="F642" s="5"/>
      <c r="H642" s="19"/>
    </row>
    <row r="643">
      <c r="A643" s="44"/>
      <c r="C643" s="5"/>
      <c r="E643" s="19"/>
      <c r="F643" s="5"/>
      <c r="H643" s="19"/>
    </row>
    <row r="644">
      <c r="A644" s="44"/>
      <c r="C644" s="5"/>
      <c r="E644" s="19"/>
      <c r="F644" s="5"/>
      <c r="H644" s="19"/>
    </row>
    <row r="645">
      <c r="A645" s="44"/>
      <c r="C645" s="5"/>
      <c r="E645" s="19"/>
      <c r="F645" s="5"/>
      <c r="H645" s="19"/>
    </row>
    <row r="646">
      <c r="A646" s="44"/>
      <c r="C646" s="5"/>
      <c r="E646" s="19"/>
      <c r="F646" s="5"/>
      <c r="H646" s="19"/>
    </row>
    <row r="647">
      <c r="A647" s="44"/>
      <c r="C647" s="5"/>
      <c r="E647" s="19"/>
      <c r="F647" s="5"/>
      <c r="H647" s="19"/>
    </row>
    <row r="648">
      <c r="A648" s="44"/>
      <c r="C648" s="5"/>
      <c r="E648" s="19"/>
      <c r="F648" s="5"/>
      <c r="H648" s="19"/>
    </row>
    <row r="649">
      <c r="A649" s="44"/>
      <c r="C649" s="5"/>
      <c r="E649" s="19"/>
      <c r="F649" s="5"/>
      <c r="H649" s="19"/>
    </row>
    <row r="650">
      <c r="A650" s="44"/>
      <c r="C650" s="5"/>
      <c r="E650" s="19"/>
      <c r="F650" s="5"/>
      <c r="H650" s="19"/>
    </row>
    <row r="651">
      <c r="A651" s="44"/>
      <c r="C651" s="5"/>
      <c r="E651" s="19"/>
      <c r="F651" s="5"/>
      <c r="H651" s="19"/>
    </row>
    <row r="652">
      <c r="A652" s="44"/>
      <c r="C652" s="5"/>
      <c r="E652" s="19"/>
      <c r="F652" s="5"/>
      <c r="H652" s="19"/>
    </row>
    <row r="653">
      <c r="A653" s="44"/>
      <c r="C653" s="5"/>
      <c r="E653" s="19"/>
      <c r="F653" s="5"/>
      <c r="H653" s="19"/>
    </row>
    <row r="654">
      <c r="A654" s="44"/>
      <c r="C654" s="5"/>
      <c r="E654" s="19"/>
      <c r="F654" s="5"/>
      <c r="H654" s="19"/>
    </row>
    <row r="655">
      <c r="A655" s="44"/>
      <c r="C655" s="5"/>
      <c r="E655" s="19"/>
      <c r="F655" s="5"/>
      <c r="H655" s="19"/>
    </row>
    <row r="656">
      <c r="A656" s="44"/>
      <c r="C656" s="5"/>
      <c r="E656" s="19"/>
      <c r="F656" s="5"/>
      <c r="H656" s="19"/>
    </row>
    <row r="657">
      <c r="A657" s="44"/>
      <c r="C657" s="5"/>
      <c r="E657" s="19"/>
      <c r="F657" s="5"/>
      <c r="H657" s="19"/>
    </row>
    <row r="658">
      <c r="A658" s="44"/>
      <c r="C658" s="5"/>
      <c r="E658" s="19"/>
      <c r="F658" s="5"/>
      <c r="H658" s="19"/>
    </row>
    <row r="659">
      <c r="A659" s="44"/>
      <c r="C659" s="5"/>
      <c r="E659" s="19"/>
      <c r="F659" s="5"/>
      <c r="H659" s="19"/>
    </row>
    <row r="660">
      <c r="A660" s="44"/>
      <c r="C660" s="5"/>
      <c r="E660" s="19"/>
      <c r="F660" s="5"/>
      <c r="H660" s="19"/>
    </row>
    <row r="661">
      <c r="A661" s="44"/>
      <c r="C661" s="5"/>
      <c r="E661" s="19"/>
      <c r="F661" s="5"/>
      <c r="H661" s="19"/>
    </row>
    <row r="662">
      <c r="A662" s="44"/>
      <c r="C662" s="5"/>
      <c r="E662" s="19"/>
      <c r="F662" s="5"/>
      <c r="H662" s="19"/>
    </row>
    <row r="663">
      <c r="A663" s="44"/>
      <c r="C663" s="5"/>
      <c r="E663" s="19"/>
      <c r="F663" s="5"/>
      <c r="H663" s="19"/>
    </row>
    <row r="664">
      <c r="A664" s="44"/>
      <c r="C664" s="5"/>
      <c r="E664" s="19"/>
      <c r="F664" s="5"/>
      <c r="H664" s="19"/>
    </row>
    <row r="665">
      <c r="A665" s="44"/>
      <c r="C665" s="5"/>
      <c r="E665" s="19"/>
      <c r="F665" s="5"/>
      <c r="H665" s="19"/>
    </row>
    <row r="666">
      <c r="A666" s="44"/>
      <c r="C666" s="5"/>
      <c r="E666" s="19"/>
      <c r="F666" s="5"/>
      <c r="H666" s="19"/>
    </row>
    <row r="667">
      <c r="A667" s="44"/>
      <c r="C667" s="5"/>
      <c r="E667" s="19"/>
      <c r="F667" s="5"/>
      <c r="H667" s="19"/>
    </row>
    <row r="668">
      <c r="A668" s="44"/>
      <c r="C668" s="5"/>
      <c r="E668" s="19"/>
      <c r="F668" s="5"/>
      <c r="H668" s="19"/>
    </row>
    <row r="669">
      <c r="A669" s="44"/>
      <c r="C669" s="5"/>
      <c r="E669" s="19"/>
      <c r="F669" s="5"/>
      <c r="H669" s="19"/>
    </row>
    <row r="670">
      <c r="A670" s="44"/>
      <c r="C670" s="5"/>
      <c r="E670" s="19"/>
      <c r="F670" s="5"/>
      <c r="H670" s="19"/>
    </row>
    <row r="671">
      <c r="A671" s="44"/>
      <c r="C671" s="5"/>
      <c r="E671" s="19"/>
      <c r="F671" s="5"/>
      <c r="H671" s="19"/>
    </row>
    <row r="672">
      <c r="A672" s="44"/>
      <c r="C672" s="5"/>
      <c r="E672" s="19"/>
      <c r="F672" s="5"/>
      <c r="H672" s="19"/>
    </row>
    <row r="673">
      <c r="A673" s="44"/>
      <c r="C673" s="5"/>
      <c r="E673" s="19"/>
      <c r="F673" s="5"/>
      <c r="H673" s="19"/>
    </row>
    <row r="674">
      <c r="A674" s="44"/>
      <c r="C674" s="5"/>
      <c r="E674" s="19"/>
      <c r="F674" s="5"/>
      <c r="H674" s="19"/>
    </row>
    <row r="675">
      <c r="A675" s="44"/>
      <c r="C675" s="5"/>
      <c r="E675" s="19"/>
      <c r="F675" s="5"/>
      <c r="H675" s="19"/>
    </row>
    <row r="676">
      <c r="A676" s="44"/>
      <c r="C676" s="5"/>
      <c r="E676" s="19"/>
      <c r="F676" s="5"/>
      <c r="H676" s="19"/>
    </row>
    <row r="677">
      <c r="A677" s="44"/>
      <c r="C677" s="5"/>
      <c r="E677" s="19"/>
      <c r="F677" s="5"/>
      <c r="H677" s="19"/>
    </row>
    <row r="678">
      <c r="A678" s="44"/>
      <c r="C678" s="5"/>
      <c r="E678" s="19"/>
      <c r="F678" s="5"/>
      <c r="H678" s="19"/>
    </row>
    <row r="679">
      <c r="A679" s="44"/>
      <c r="C679" s="5"/>
      <c r="E679" s="19"/>
      <c r="F679" s="5"/>
      <c r="H679" s="19"/>
    </row>
    <row r="680">
      <c r="A680" s="44"/>
      <c r="C680" s="5"/>
      <c r="E680" s="19"/>
      <c r="F680" s="5"/>
      <c r="H680" s="19"/>
    </row>
    <row r="681">
      <c r="A681" s="44"/>
      <c r="C681" s="5"/>
      <c r="E681" s="19"/>
      <c r="F681" s="5"/>
      <c r="H681" s="19"/>
    </row>
    <row r="682">
      <c r="A682" s="44"/>
      <c r="C682" s="5"/>
      <c r="E682" s="19"/>
      <c r="F682" s="5"/>
      <c r="H682" s="19"/>
    </row>
    <row r="683">
      <c r="A683" s="44"/>
      <c r="C683" s="5"/>
      <c r="E683" s="19"/>
      <c r="F683" s="5"/>
      <c r="H683" s="19"/>
    </row>
    <row r="684">
      <c r="A684" s="44"/>
      <c r="C684" s="5"/>
      <c r="E684" s="19"/>
      <c r="F684" s="5"/>
      <c r="H684" s="19"/>
    </row>
    <row r="685">
      <c r="A685" s="44"/>
      <c r="C685" s="5"/>
      <c r="E685" s="19"/>
      <c r="F685" s="5"/>
      <c r="H685" s="19"/>
    </row>
    <row r="686">
      <c r="A686" s="44"/>
      <c r="C686" s="5"/>
      <c r="E686" s="19"/>
      <c r="F686" s="5"/>
      <c r="H686" s="19"/>
    </row>
    <row r="687">
      <c r="A687" s="44"/>
      <c r="C687" s="5"/>
      <c r="E687" s="19"/>
      <c r="F687" s="5"/>
      <c r="H687" s="19"/>
    </row>
    <row r="688">
      <c r="A688" s="44"/>
      <c r="C688" s="5"/>
      <c r="E688" s="19"/>
      <c r="F688" s="5"/>
      <c r="H688" s="19"/>
    </row>
    <row r="689">
      <c r="A689" s="44"/>
      <c r="C689" s="5"/>
      <c r="E689" s="19"/>
      <c r="F689" s="5"/>
      <c r="H689" s="19"/>
    </row>
    <row r="690">
      <c r="A690" s="44"/>
      <c r="C690" s="5"/>
      <c r="E690" s="19"/>
      <c r="F690" s="5"/>
      <c r="H690" s="19"/>
    </row>
    <row r="691">
      <c r="A691" s="44"/>
      <c r="C691" s="5"/>
      <c r="E691" s="19"/>
      <c r="F691" s="5"/>
      <c r="H691" s="19"/>
    </row>
    <row r="692">
      <c r="A692" s="44"/>
      <c r="C692" s="5"/>
      <c r="E692" s="19"/>
      <c r="F692" s="5"/>
      <c r="H692" s="19"/>
    </row>
    <row r="693">
      <c r="A693" s="44"/>
      <c r="C693" s="5"/>
      <c r="E693" s="19"/>
      <c r="F693" s="5"/>
      <c r="H693" s="19"/>
    </row>
    <row r="694">
      <c r="A694" s="44"/>
      <c r="C694" s="5"/>
      <c r="E694" s="19"/>
      <c r="F694" s="5"/>
      <c r="H694" s="19"/>
    </row>
    <row r="695">
      <c r="A695" s="44"/>
      <c r="C695" s="5"/>
      <c r="E695" s="19"/>
      <c r="F695" s="5"/>
      <c r="H695" s="19"/>
    </row>
    <row r="696">
      <c r="A696" s="44"/>
      <c r="C696" s="5"/>
      <c r="E696" s="19"/>
      <c r="F696" s="5"/>
      <c r="H696" s="19"/>
    </row>
    <row r="697">
      <c r="A697" s="44"/>
      <c r="C697" s="5"/>
      <c r="E697" s="19"/>
      <c r="F697" s="5"/>
      <c r="H697" s="19"/>
    </row>
    <row r="698">
      <c r="A698" s="44"/>
      <c r="C698" s="5"/>
      <c r="E698" s="19"/>
      <c r="F698" s="5"/>
      <c r="H698" s="19"/>
    </row>
    <row r="699">
      <c r="A699" s="44"/>
      <c r="C699" s="5"/>
      <c r="E699" s="19"/>
      <c r="F699" s="5"/>
      <c r="H699" s="19"/>
    </row>
    <row r="700">
      <c r="A700" s="44"/>
      <c r="C700" s="5"/>
      <c r="E700" s="19"/>
      <c r="F700" s="5"/>
      <c r="H700" s="19"/>
    </row>
    <row r="701">
      <c r="A701" s="44"/>
      <c r="C701" s="5"/>
      <c r="E701" s="19"/>
      <c r="F701" s="5"/>
      <c r="H701" s="19"/>
    </row>
    <row r="702">
      <c r="A702" s="44"/>
      <c r="C702" s="5"/>
      <c r="E702" s="19"/>
      <c r="F702" s="5"/>
      <c r="H702" s="19"/>
    </row>
    <row r="703">
      <c r="A703" s="44"/>
      <c r="C703" s="5"/>
      <c r="E703" s="19"/>
      <c r="F703" s="5"/>
      <c r="H703" s="19"/>
    </row>
    <row r="704">
      <c r="A704" s="44"/>
      <c r="C704" s="5"/>
      <c r="E704" s="19"/>
      <c r="F704" s="5"/>
      <c r="H704" s="19"/>
    </row>
    <row r="705">
      <c r="A705" s="44"/>
      <c r="C705" s="5"/>
      <c r="E705" s="19"/>
      <c r="F705" s="5"/>
      <c r="H705" s="19"/>
    </row>
    <row r="706">
      <c r="A706" s="44"/>
      <c r="C706" s="5"/>
      <c r="E706" s="19"/>
      <c r="F706" s="5"/>
      <c r="H706" s="19"/>
    </row>
    <row r="707">
      <c r="A707" s="44"/>
      <c r="C707" s="5"/>
      <c r="E707" s="19"/>
      <c r="F707" s="5"/>
      <c r="H707" s="19"/>
    </row>
    <row r="708">
      <c r="A708" s="44"/>
      <c r="C708" s="5"/>
      <c r="E708" s="19"/>
      <c r="F708" s="5"/>
      <c r="H708" s="19"/>
    </row>
    <row r="709">
      <c r="A709" s="44"/>
      <c r="C709" s="5"/>
      <c r="E709" s="19"/>
      <c r="F709" s="5"/>
      <c r="H709" s="19"/>
    </row>
    <row r="710">
      <c r="A710" s="44"/>
      <c r="C710" s="5"/>
      <c r="E710" s="19"/>
      <c r="F710" s="5"/>
      <c r="H710" s="19"/>
    </row>
    <row r="711">
      <c r="A711" s="44"/>
      <c r="C711" s="5"/>
      <c r="E711" s="19"/>
      <c r="F711" s="5"/>
      <c r="H711" s="19"/>
    </row>
    <row r="712">
      <c r="A712" s="44"/>
      <c r="C712" s="5"/>
      <c r="E712" s="19"/>
      <c r="F712" s="5"/>
      <c r="H712" s="19"/>
    </row>
    <row r="713">
      <c r="A713" s="44"/>
      <c r="C713" s="5"/>
      <c r="E713" s="19"/>
      <c r="F713" s="5"/>
      <c r="H713" s="19"/>
    </row>
    <row r="714">
      <c r="A714" s="44"/>
      <c r="C714" s="5"/>
      <c r="E714" s="19"/>
      <c r="F714" s="5"/>
      <c r="H714" s="19"/>
    </row>
    <row r="715">
      <c r="A715" s="44"/>
      <c r="C715" s="5"/>
      <c r="E715" s="19"/>
      <c r="F715" s="5"/>
      <c r="H715" s="19"/>
    </row>
    <row r="716">
      <c r="A716" s="44"/>
      <c r="C716" s="5"/>
      <c r="E716" s="19"/>
      <c r="F716" s="5"/>
      <c r="H716" s="19"/>
    </row>
    <row r="717">
      <c r="A717" s="44"/>
      <c r="C717" s="5"/>
      <c r="E717" s="19"/>
      <c r="F717" s="5"/>
      <c r="H717" s="19"/>
    </row>
    <row r="718">
      <c r="A718" s="44"/>
      <c r="C718" s="5"/>
      <c r="E718" s="19"/>
      <c r="F718" s="5"/>
      <c r="H718" s="19"/>
    </row>
    <row r="719">
      <c r="A719" s="44"/>
      <c r="C719" s="5"/>
      <c r="E719" s="19"/>
      <c r="F719" s="5"/>
      <c r="H719" s="19"/>
    </row>
    <row r="720">
      <c r="A720" s="44"/>
      <c r="C720" s="5"/>
      <c r="E720" s="19"/>
      <c r="F720" s="5"/>
      <c r="H720" s="19"/>
    </row>
    <row r="721">
      <c r="A721" s="44"/>
      <c r="C721" s="5"/>
      <c r="E721" s="19"/>
      <c r="F721" s="5"/>
      <c r="H721" s="19"/>
    </row>
    <row r="722">
      <c r="A722" s="44"/>
      <c r="C722" s="5"/>
      <c r="E722" s="19"/>
      <c r="F722" s="5"/>
      <c r="H722" s="19"/>
    </row>
    <row r="723">
      <c r="A723" s="44"/>
      <c r="C723" s="5"/>
      <c r="E723" s="19"/>
      <c r="F723" s="5"/>
      <c r="H723" s="19"/>
    </row>
    <row r="724">
      <c r="A724" s="44"/>
      <c r="C724" s="5"/>
      <c r="E724" s="19"/>
      <c r="F724" s="5"/>
      <c r="H724" s="19"/>
    </row>
    <row r="725">
      <c r="A725" s="44"/>
      <c r="C725" s="5"/>
      <c r="E725" s="19"/>
      <c r="F725" s="5"/>
      <c r="H725" s="19"/>
    </row>
    <row r="726">
      <c r="A726" s="44"/>
      <c r="C726" s="5"/>
      <c r="E726" s="19"/>
      <c r="F726" s="5"/>
      <c r="H726" s="19"/>
    </row>
    <row r="727">
      <c r="A727" s="44"/>
      <c r="C727" s="5"/>
      <c r="E727" s="19"/>
      <c r="F727" s="5"/>
      <c r="H727" s="19"/>
    </row>
    <row r="728">
      <c r="A728" s="44"/>
      <c r="C728" s="5"/>
      <c r="E728" s="19"/>
      <c r="F728" s="5"/>
      <c r="H728" s="19"/>
    </row>
    <row r="729">
      <c r="A729" s="44"/>
      <c r="C729" s="5"/>
      <c r="E729" s="19"/>
      <c r="F729" s="5"/>
      <c r="H729" s="19"/>
    </row>
    <row r="730">
      <c r="A730" s="44"/>
      <c r="C730" s="5"/>
      <c r="E730" s="19"/>
      <c r="F730" s="5"/>
      <c r="H730" s="19"/>
    </row>
    <row r="731">
      <c r="A731" s="44"/>
      <c r="C731" s="5"/>
      <c r="E731" s="19"/>
      <c r="F731" s="5"/>
      <c r="H731" s="19"/>
    </row>
    <row r="732">
      <c r="A732" s="44"/>
      <c r="C732" s="5"/>
      <c r="E732" s="19"/>
      <c r="F732" s="5"/>
      <c r="H732" s="19"/>
    </row>
    <row r="733">
      <c r="A733" s="44"/>
      <c r="C733" s="5"/>
      <c r="E733" s="19"/>
      <c r="F733" s="5"/>
      <c r="H733" s="19"/>
    </row>
    <row r="734">
      <c r="A734" s="44"/>
      <c r="C734" s="5"/>
      <c r="E734" s="19"/>
      <c r="F734" s="5"/>
      <c r="H734" s="19"/>
    </row>
    <row r="735">
      <c r="A735" s="44"/>
      <c r="C735" s="5"/>
      <c r="E735" s="19"/>
      <c r="F735" s="5"/>
      <c r="H735" s="19"/>
    </row>
    <row r="736">
      <c r="A736" s="44"/>
      <c r="C736" s="5"/>
      <c r="E736" s="19"/>
      <c r="F736" s="5"/>
      <c r="H736" s="19"/>
    </row>
    <row r="737">
      <c r="A737" s="44"/>
      <c r="C737" s="5"/>
      <c r="E737" s="19"/>
      <c r="F737" s="5"/>
      <c r="H737" s="19"/>
    </row>
    <row r="738">
      <c r="A738" s="44"/>
      <c r="C738" s="5"/>
      <c r="E738" s="19"/>
      <c r="F738" s="5"/>
      <c r="H738" s="19"/>
    </row>
    <row r="739">
      <c r="A739" s="44"/>
      <c r="C739" s="5"/>
      <c r="E739" s="19"/>
      <c r="F739" s="5"/>
      <c r="H739" s="19"/>
    </row>
    <row r="740">
      <c r="A740" s="44"/>
      <c r="C740" s="5"/>
      <c r="E740" s="19"/>
      <c r="F740" s="5"/>
      <c r="H740" s="19"/>
    </row>
    <row r="741">
      <c r="A741" s="44"/>
      <c r="C741" s="5"/>
      <c r="E741" s="19"/>
      <c r="F741" s="5"/>
      <c r="H741" s="19"/>
    </row>
    <row r="742">
      <c r="A742" s="44"/>
      <c r="C742" s="5"/>
      <c r="E742" s="19"/>
      <c r="F742" s="5"/>
      <c r="H742" s="19"/>
    </row>
    <row r="743">
      <c r="A743" s="44"/>
      <c r="C743" s="5"/>
      <c r="E743" s="19"/>
      <c r="F743" s="5"/>
      <c r="H743" s="19"/>
    </row>
    <row r="744">
      <c r="A744" s="44"/>
      <c r="C744" s="5"/>
      <c r="E744" s="19"/>
      <c r="F744" s="5"/>
      <c r="H744" s="19"/>
    </row>
    <row r="745">
      <c r="A745" s="44"/>
      <c r="C745" s="5"/>
      <c r="E745" s="19"/>
      <c r="F745" s="5"/>
      <c r="H745" s="19"/>
    </row>
    <row r="746">
      <c r="A746" s="44"/>
      <c r="C746" s="5"/>
      <c r="E746" s="19"/>
      <c r="F746" s="5"/>
      <c r="H746" s="19"/>
    </row>
    <row r="747">
      <c r="A747" s="44"/>
      <c r="C747" s="5"/>
      <c r="E747" s="19"/>
      <c r="F747" s="5"/>
      <c r="H747" s="19"/>
    </row>
    <row r="748">
      <c r="A748" s="44"/>
      <c r="C748" s="5"/>
      <c r="E748" s="19"/>
      <c r="F748" s="5"/>
      <c r="H748" s="19"/>
    </row>
    <row r="749">
      <c r="A749" s="44"/>
      <c r="C749" s="5"/>
      <c r="E749" s="19"/>
      <c r="F749" s="5"/>
      <c r="H749" s="19"/>
    </row>
    <row r="750">
      <c r="A750" s="44"/>
      <c r="C750" s="5"/>
      <c r="E750" s="19"/>
      <c r="F750" s="5"/>
      <c r="H750" s="19"/>
    </row>
    <row r="751">
      <c r="A751" s="44"/>
      <c r="C751" s="5"/>
      <c r="E751" s="19"/>
      <c r="F751" s="5"/>
      <c r="H751" s="19"/>
    </row>
    <row r="752">
      <c r="A752" s="44"/>
      <c r="C752" s="5"/>
      <c r="E752" s="19"/>
      <c r="F752" s="5"/>
      <c r="H752" s="19"/>
    </row>
    <row r="753">
      <c r="A753" s="44"/>
      <c r="C753" s="5"/>
      <c r="E753" s="19"/>
      <c r="F753" s="5"/>
      <c r="H753" s="19"/>
    </row>
    <row r="754">
      <c r="A754" s="44"/>
      <c r="C754" s="5"/>
      <c r="E754" s="19"/>
      <c r="F754" s="5"/>
      <c r="H754" s="19"/>
    </row>
    <row r="755">
      <c r="A755" s="44"/>
      <c r="C755" s="5"/>
      <c r="E755" s="19"/>
      <c r="F755" s="5"/>
      <c r="H755" s="19"/>
    </row>
    <row r="756">
      <c r="A756" s="44"/>
      <c r="C756" s="5"/>
      <c r="E756" s="19"/>
      <c r="F756" s="5"/>
      <c r="H756" s="19"/>
    </row>
    <row r="757">
      <c r="A757" s="44"/>
      <c r="C757" s="5"/>
      <c r="E757" s="19"/>
      <c r="F757" s="5"/>
      <c r="H757" s="19"/>
    </row>
    <row r="758">
      <c r="A758" s="44"/>
      <c r="C758" s="5"/>
      <c r="E758" s="19"/>
      <c r="F758" s="5"/>
      <c r="H758" s="19"/>
    </row>
    <row r="759">
      <c r="A759" s="44"/>
      <c r="C759" s="5"/>
      <c r="E759" s="19"/>
      <c r="F759" s="5"/>
      <c r="H759" s="19"/>
    </row>
    <row r="760">
      <c r="A760" s="44"/>
      <c r="C760" s="5"/>
      <c r="E760" s="19"/>
      <c r="F760" s="5"/>
      <c r="H760" s="19"/>
    </row>
    <row r="761">
      <c r="A761" s="44"/>
      <c r="C761" s="5"/>
      <c r="E761" s="19"/>
      <c r="F761" s="5"/>
      <c r="H761" s="19"/>
    </row>
    <row r="762">
      <c r="A762" s="44"/>
      <c r="C762" s="5"/>
      <c r="E762" s="19"/>
      <c r="F762" s="5"/>
      <c r="H762" s="19"/>
    </row>
    <row r="763">
      <c r="A763" s="44"/>
      <c r="C763" s="5"/>
      <c r="E763" s="19"/>
      <c r="F763" s="5"/>
      <c r="H763" s="19"/>
    </row>
    <row r="764">
      <c r="A764" s="44"/>
      <c r="C764" s="5"/>
      <c r="E764" s="19"/>
      <c r="F764" s="5"/>
      <c r="H764" s="19"/>
    </row>
    <row r="765">
      <c r="A765" s="44"/>
      <c r="C765" s="5"/>
      <c r="E765" s="19"/>
      <c r="F765" s="5"/>
      <c r="H765" s="19"/>
    </row>
    <row r="766">
      <c r="A766" s="44"/>
      <c r="C766" s="5"/>
      <c r="E766" s="19"/>
      <c r="F766" s="5"/>
      <c r="H766" s="19"/>
    </row>
    <row r="767">
      <c r="A767" s="44"/>
      <c r="C767" s="5"/>
      <c r="E767" s="19"/>
      <c r="F767" s="5"/>
      <c r="H767" s="19"/>
    </row>
    <row r="768">
      <c r="A768" s="44"/>
      <c r="C768" s="5"/>
      <c r="E768" s="19"/>
      <c r="F768" s="5"/>
      <c r="H768" s="19"/>
    </row>
    <row r="769">
      <c r="A769" s="44"/>
      <c r="C769" s="5"/>
      <c r="E769" s="19"/>
      <c r="F769" s="5"/>
      <c r="H769" s="19"/>
    </row>
    <row r="770">
      <c r="A770" s="44"/>
      <c r="C770" s="5"/>
      <c r="E770" s="19"/>
      <c r="F770" s="5"/>
      <c r="H770" s="19"/>
    </row>
    <row r="771">
      <c r="A771" s="44"/>
      <c r="C771" s="5"/>
      <c r="E771" s="19"/>
      <c r="F771" s="5"/>
      <c r="H771" s="19"/>
    </row>
    <row r="772">
      <c r="A772" s="44"/>
      <c r="C772" s="5"/>
      <c r="E772" s="19"/>
      <c r="F772" s="5"/>
      <c r="H772" s="19"/>
    </row>
    <row r="773">
      <c r="A773" s="44"/>
      <c r="C773" s="5"/>
      <c r="E773" s="19"/>
      <c r="F773" s="5"/>
      <c r="H773" s="19"/>
    </row>
    <row r="774">
      <c r="A774" s="44"/>
      <c r="C774" s="5"/>
      <c r="E774" s="19"/>
      <c r="F774" s="5"/>
      <c r="H774" s="19"/>
    </row>
    <row r="775">
      <c r="A775" s="44"/>
      <c r="C775" s="5"/>
      <c r="E775" s="19"/>
      <c r="F775" s="5"/>
      <c r="H775" s="19"/>
    </row>
    <row r="776">
      <c r="A776" s="44"/>
      <c r="C776" s="5"/>
      <c r="E776" s="19"/>
      <c r="F776" s="5"/>
      <c r="H776" s="19"/>
    </row>
    <row r="777">
      <c r="A777" s="44"/>
      <c r="C777" s="5"/>
      <c r="E777" s="19"/>
      <c r="F777" s="5"/>
      <c r="H777" s="19"/>
    </row>
    <row r="778">
      <c r="A778" s="44"/>
      <c r="C778" s="5"/>
      <c r="E778" s="19"/>
      <c r="F778" s="5"/>
      <c r="H778" s="19"/>
    </row>
    <row r="779">
      <c r="A779" s="44"/>
      <c r="C779" s="5"/>
      <c r="E779" s="19"/>
      <c r="F779" s="5"/>
      <c r="H779" s="19"/>
    </row>
    <row r="780">
      <c r="A780" s="44"/>
      <c r="C780" s="5"/>
      <c r="E780" s="19"/>
      <c r="F780" s="5"/>
      <c r="H780" s="19"/>
    </row>
    <row r="781">
      <c r="A781" s="44"/>
      <c r="C781" s="5"/>
      <c r="E781" s="19"/>
      <c r="F781" s="5"/>
      <c r="H781" s="19"/>
    </row>
    <row r="782">
      <c r="A782" s="44"/>
      <c r="C782" s="5"/>
      <c r="E782" s="19"/>
      <c r="F782" s="5"/>
      <c r="H782" s="19"/>
    </row>
    <row r="783">
      <c r="A783" s="44"/>
      <c r="C783" s="5"/>
      <c r="E783" s="19"/>
      <c r="F783" s="5"/>
      <c r="H783" s="19"/>
    </row>
    <row r="784">
      <c r="A784" s="44"/>
      <c r="C784" s="5"/>
      <c r="E784" s="19"/>
      <c r="F784" s="5"/>
      <c r="H784" s="19"/>
    </row>
    <row r="785">
      <c r="A785" s="44"/>
      <c r="C785" s="5"/>
      <c r="E785" s="19"/>
      <c r="F785" s="5"/>
      <c r="H785" s="19"/>
    </row>
    <row r="786">
      <c r="A786" s="44"/>
      <c r="C786" s="5"/>
      <c r="E786" s="19"/>
      <c r="F786" s="5"/>
      <c r="H786" s="19"/>
    </row>
    <row r="787">
      <c r="A787" s="44"/>
      <c r="C787" s="5"/>
      <c r="E787" s="19"/>
      <c r="F787" s="5"/>
      <c r="H787" s="19"/>
    </row>
    <row r="788">
      <c r="A788" s="44"/>
      <c r="C788" s="5"/>
      <c r="E788" s="19"/>
      <c r="F788" s="5"/>
      <c r="H788" s="19"/>
    </row>
    <row r="789">
      <c r="A789" s="44"/>
      <c r="C789" s="5"/>
      <c r="E789" s="19"/>
      <c r="F789" s="5"/>
      <c r="H789" s="19"/>
    </row>
    <row r="790">
      <c r="A790" s="44"/>
      <c r="C790" s="5"/>
      <c r="E790" s="19"/>
      <c r="F790" s="5"/>
      <c r="H790" s="19"/>
    </row>
    <row r="791">
      <c r="A791" s="44"/>
      <c r="C791" s="5"/>
      <c r="E791" s="19"/>
      <c r="F791" s="5"/>
      <c r="H791" s="19"/>
    </row>
    <row r="792">
      <c r="A792" s="44"/>
      <c r="C792" s="5"/>
      <c r="E792" s="19"/>
      <c r="F792" s="5"/>
      <c r="H792" s="19"/>
    </row>
    <row r="793">
      <c r="A793" s="44"/>
      <c r="C793" s="5"/>
      <c r="E793" s="19"/>
      <c r="F793" s="5"/>
      <c r="H793" s="19"/>
    </row>
    <row r="794">
      <c r="A794" s="44"/>
      <c r="C794" s="5"/>
      <c r="E794" s="19"/>
      <c r="F794" s="5"/>
      <c r="H794" s="19"/>
    </row>
    <row r="795">
      <c r="A795" s="44"/>
      <c r="C795" s="5"/>
      <c r="E795" s="19"/>
      <c r="F795" s="5"/>
      <c r="H795" s="19"/>
    </row>
    <row r="796">
      <c r="A796" s="44"/>
      <c r="C796" s="5"/>
      <c r="E796" s="19"/>
      <c r="F796" s="5"/>
      <c r="H796" s="19"/>
    </row>
    <row r="797">
      <c r="A797" s="44"/>
      <c r="C797" s="5"/>
      <c r="E797" s="19"/>
      <c r="F797" s="5"/>
      <c r="H797" s="19"/>
    </row>
    <row r="798">
      <c r="A798" s="44"/>
      <c r="C798" s="5"/>
      <c r="E798" s="19"/>
      <c r="F798" s="5"/>
      <c r="H798" s="19"/>
    </row>
    <row r="799">
      <c r="A799" s="44"/>
      <c r="C799" s="5"/>
      <c r="E799" s="19"/>
      <c r="F799" s="5"/>
      <c r="H799" s="19"/>
    </row>
    <row r="800">
      <c r="A800" s="44"/>
      <c r="C800" s="5"/>
      <c r="E800" s="19"/>
      <c r="F800" s="5"/>
      <c r="H800" s="19"/>
    </row>
    <row r="801">
      <c r="A801" s="44"/>
      <c r="C801" s="5"/>
      <c r="E801" s="19"/>
      <c r="F801" s="5"/>
      <c r="H801" s="19"/>
    </row>
    <row r="802">
      <c r="A802" s="44"/>
      <c r="C802" s="5"/>
      <c r="E802" s="19"/>
      <c r="F802" s="5"/>
      <c r="H802" s="19"/>
    </row>
    <row r="803">
      <c r="A803" s="44"/>
      <c r="C803" s="5"/>
      <c r="E803" s="19"/>
      <c r="F803" s="5"/>
      <c r="H803" s="19"/>
    </row>
    <row r="804">
      <c r="A804" s="44"/>
      <c r="C804" s="5"/>
      <c r="E804" s="19"/>
      <c r="F804" s="5"/>
      <c r="H804" s="19"/>
    </row>
    <row r="805">
      <c r="A805" s="44"/>
      <c r="C805" s="5"/>
      <c r="E805" s="19"/>
      <c r="F805" s="5"/>
      <c r="H805" s="19"/>
    </row>
    <row r="806">
      <c r="A806" s="44"/>
      <c r="C806" s="5"/>
      <c r="E806" s="19"/>
      <c r="F806" s="5"/>
      <c r="H806" s="19"/>
    </row>
    <row r="807">
      <c r="A807" s="44"/>
      <c r="C807" s="5"/>
      <c r="E807" s="19"/>
      <c r="F807" s="5"/>
      <c r="H807" s="19"/>
    </row>
    <row r="808">
      <c r="A808" s="44"/>
      <c r="C808" s="5"/>
      <c r="E808" s="19"/>
      <c r="F808" s="5"/>
      <c r="H808" s="19"/>
    </row>
    <row r="809">
      <c r="A809" s="44"/>
      <c r="C809" s="5"/>
      <c r="E809" s="19"/>
      <c r="F809" s="5"/>
      <c r="H809" s="19"/>
    </row>
    <row r="810">
      <c r="A810" s="44"/>
      <c r="C810" s="5"/>
      <c r="E810" s="19"/>
      <c r="F810" s="5"/>
      <c r="H810" s="19"/>
    </row>
    <row r="811">
      <c r="A811" s="44"/>
      <c r="C811" s="5"/>
      <c r="E811" s="19"/>
      <c r="F811" s="5"/>
      <c r="H811" s="19"/>
    </row>
    <row r="812">
      <c r="A812" s="44"/>
      <c r="C812" s="5"/>
      <c r="E812" s="19"/>
      <c r="F812" s="5"/>
      <c r="H812" s="19"/>
    </row>
    <row r="813">
      <c r="A813" s="44"/>
      <c r="C813" s="5"/>
      <c r="E813" s="19"/>
      <c r="F813" s="5"/>
      <c r="H813" s="19"/>
    </row>
    <row r="814">
      <c r="A814" s="44"/>
      <c r="C814" s="5"/>
      <c r="E814" s="19"/>
      <c r="F814" s="5"/>
      <c r="H814" s="19"/>
    </row>
    <row r="815">
      <c r="A815" s="44"/>
      <c r="C815" s="5"/>
      <c r="E815" s="19"/>
      <c r="F815" s="5"/>
      <c r="H815" s="19"/>
    </row>
    <row r="816">
      <c r="A816" s="44"/>
      <c r="C816" s="5"/>
      <c r="E816" s="19"/>
      <c r="F816" s="5"/>
      <c r="H816" s="19"/>
    </row>
    <row r="817">
      <c r="A817" s="44"/>
      <c r="C817" s="5"/>
      <c r="E817" s="19"/>
      <c r="F817" s="5"/>
      <c r="H817" s="19"/>
    </row>
    <row r="818">
      <c r="A818" s="44"/>
      <c r="C818" s="5"/>
      <c r="E818" s="19"/>
      <c r="F818" s="5"/>
      <c r="H818" s="19"/>
    </row>
    <row r="819">
      <c r="A819" s="44"/>
      <c r="C819" s="5"/>
      <c r="E819" s="19"/>
      <c r="F819" s="5"/>
      <c r="H819" s="19"/>
    </row>
    <row r="820">
      <c r="A820" s="44"/>
      <c r="C820" s="5"/>
      <c r="E820" s="19"/>
      <c r="F820" s="5"/>
      <c r="H820" s="19"/>
    </row>
    <row r="821">
      <c r="A821" s="44"/>
      <c r="C821" s="5"/>
      <c r="E821" s="19"/>
      <c r="F821" s="5"/>
      <c r="H821" s="19"/>
    </row>
    <row r="822">
      <c r="A822" s="44"/>
      <c r="C822" s="5"/>
      <c r="E822" s="19"/>
      <c r="F822" s="5"/>
      <c r="H822" s="19"/>
    </row>
    <row r="823">
      <c r="A823" s="44"/>
      <c r="C823" s="5"/>
      <c r="E823" s="19"/>
      <c r="F823" s="5"/>
      <c r="H823" s="19"/>
    </row>
    <row r="824">
      <c r="A824" s="44"/>
      <c r="C824" s="5"/>
      <c r="E824" s="19"/>
      <c r="F824" s="5"/>
      <c r="H824" s="19"/>
    </row>
    <row r="825">
      <c r="A825" s="44"/>
      <c r="C825" s="5"/>
      <c r="E825" s="19"/>
      <c r="F825" s="5"/>
      <c r="H825" s="19"/>
    </row>
    <row r="826">
      <c r="A826" s="44"/>
      <c r="C826" s="5"/>
      <c r="E826" s="19"/>
      <c r="F826" s="5"/>
      <c r="H826" s="19"/>
    </row>
    <row r="827">
      <c r="A827" s="44"/>
      <c r="C827" s="5"/>
      <c r="E827" s="19"/>
      <c r="F827" s="5"/>
      <c r="H827" s="19"/>
    </row>
    <row r="828">
      <c r="A828" s="44"/>
      <c r="C828" s="5"/>
      <c r="E828" s="19"/>
      <c r="F828" s="5"/>
      <c r="H828" s="19"/>
    </row>
    <row r="829">
      <c r="A829" s="44"/>
      <c r="C829" s="5"/>
      <c r="E829" s="19"/>
      <c r="F829" s="5"/>
      <c r="H829" s="19"/>
    </row>
    <row r="830">
      <c r="A830" s="44"/>
      <c r="C830" s="5"/>
      <c r="E830" s="19"/>
      <c r="F830" s="5"/>
      <c r="H830" s="19"/>
    </row>
    <row r="831">
      <c r="A831" s="44"/>
      <c r="C831" s="5"/>
      <c r="E831" s="19"/>
      <c r="F831" s="5"/>
      <c r="H831" s="19"/>
    </row>
    <row r="832">
      <c r="A832" s="44"/>
      <c r="C832" s="5"/>
      <c r="E832" s="19"/>
      <c r="F832" s="5"/>
      <c r="H832" s="19"/>
    </row>
    <row r="833">
      <c r="A833" s="44"/>
      <c r="C833" s="5"/>
      <c r="E833" s="19"/>
      <c r="F833" s="5"/>
      <c r="H833" s="19"/>
    </row>
    <row r="834">
      <c r="A834" s="44"/>
      <c r="C834" s="5"/>
      <c r="E834" s="19"/>
      <c r="F834" s="5"/>
      <c r="H834" s="19"/>
    </row>
    <row r="835">
      <c r="A835" s="44"/>
      <c r="C835" s="5"/>
      <c r="E835" s="19"/>
      <c r="F835" s="5"/>
      <c r="H835" s="19"/>
    </row>
    <row r="836">
      <c r="A836" s="44"/>
      <c r="C836" s="5"/>
      <c r="E836" s="19"/>
      <c r="F836" s="5"/>
      <c r="H836" s="19"/>
    </row>
    <row r="837">
      <c r="A837" s="44"/>
      <c r="C837" s="5"/>
      <c r="E837" s="19"/>
      <c r="F837" s="5"/>
      <c r="H837" s="19"/>
    </row>
    <row r="838">
      <c r="A838" s="44"/>
      <c r="C838" s="5"/>
      <c r="E838" s="19"/>
      <c r="F838" s="5"/>
      <c r="H838" s="19"/>
    </row>
    <row r="839">
      <c r="A839" s="44"/>
      <c r="C839" s="5"/>
      <c r="E839" s="19"/>
      <c r="F839" s="5"/>
      <c r="H839" s="19"/>
    </row>
    <row r="840">
      <c r="A840" s="44"/>
      <c r="C840" s="5"/>
      <c r="E840" s="19"/>
      <c r="F840" s="5"/>
      <c r="H840" s="19"/>
    </row>
    <row r="841">
      <c r="A841" s="44"/>
      <c r="C841" s="5"/>
      <c r="E841" s="19"/>
      <c r="F841" s="5"/>
      <c r="H841" s="19"/>
    </row>
    <row r="842">
      <c r="A842" s="44"/>
      <c r="C842" s="5"/>
      <c r="E842" s="19"/>
      <c r="F842" s="5"/>
      <c r="H842" s="19"/>
    </row>
    <row r="843">
      <c r="A843" s="44"/>
      <c r="C843" s="5"/>
      <c r="E843" s="19"/>
      <c r="F843" s="5"/>
      <c r="H843" s="19"/>
    </row>
    <row r="844">
      <c r="A844" s="44"/>
      <c r="C844" s="5"/>
      <c r="E844" s="19"/>
      <c r="F844" s="5"/>
      <c r="H844" s="19"/>
    </row>
    <row r="845">
      <c r="A845" s="44"/>
      <c r="C845" s="5"/>
      <c r="E845" s="19"/>
      <c r="F845" s="5"/>
      <c r="H845" s="19"/>
    </row>
    <row r="846">
      <c r="A846" s="44"/>
      <c r="C846" s="5"/>
      <c r="E846" s="19"/>
      <c r="F846" s="5"/>
      <c r="H846" s="19"/>
    </row>
    <row r="847">
      <c r="A847" s="44"/>
      <c r="C847" s="5"/>
      <c r="E847" s="19"/>
      <c r="F847" s="5"/>
      <c r="H847" s="19"/>
    </row>
    <row r="848">
      <c r="A848" s="44"/>
      <c r="C848" s="5"/>
      <c r="E848" s="19"/>
      <c r="F848" s="5"/>
      <c r="H848" s="19"/>
    </row>
    <row r="849">
      <c r="A849" s="44"/>
      <c r="C849" s="5"/>
      <c r="E849" s="19"/>
      <c r="F849" s="5"/>
      <c r="H849" s="19"/>
    </row>
    <row r="850">
      <c r="A850" s="44"/>
      <c r="C850" s="5"/>
      <c r="E850" s="19"/>
      <c r="F850" s="5"/>
      <c r="H850" s="19"/>
    </row>
    <row r="851">
      <c r="A851" s="44"/>
      <c r="C851" s="5"/>
      <c r="E851" s="19"/>
      <c r="F851" s="5"/>
      <c r="H851" s="19"/>
    </row>
    <row r="852">
      <c r="A852" s="44"/>
      <c r="C852" s="5"/>
      <c r="E852" s="19"/>
      <c r="F852" s="5"/>
      <c r="H852" s="19"/>
    </row>
    <row r="853">
      <c r="A853" s="44"/>
      <c r="C853" s="5"/>
      <c r="E853" s="19"/>
      <c r="F853" s="5"/>
      <c r="H853" s="19"/>
    </row>
    <row r="854">
      <c r="A854" s="44"/>
      <c r="C854" s="5"/>
      <c r="E854" s="19"/>
      <c r="F854" s="5"/>
      <c r="H854" s="19"/>
    </row>
    <row r="855">
      <c r="A855" s="44"/>
      <c r="C855" s="5"/>
      <c r="E855" s="19"/>
      <c r="F855" s="5"/>
      <c r="H855" s="19"/>
    </row>
    <row r="856">
      <c r="A856" s="44"/>
      <c r="C856" s="5"/>
      <c r="E856" s="19"/>
      <c r="F856" s="5"/>
      <c r="H856" s="19"/>
    </row>
    <row r="857">
      <c r="A857" s="44"/>
      <c r="C857" s="5"/>
      <c r="E857" s="19"/>
      <c r="F857" s="5"/>
      <c r="H857" s="19"/>
    </row>
    <row r="858">
      <c r="A858" s="44"/>
      <c r="C858" s="5"/>
      <c r="E858" s="19"/>
      <c r="F858" s="5"/>
      <c r="H858" s="19"/>
    </row>
    <row r="859">
      <c r="A859" s="44"/>
      <c r="C859" s="5"/>
      <c r="E859" s="19"/>
      <c r="F859" s="5"/>
      <c r="H859" s="19"/>
    </row>
    <row r="860">
      <c r="A860" s="44"/>
      <c r="C860" s="5"/>
      <c r="E860" s="19"/>
      <c r="F860" s="5"/>
      <c r="H860" s="19"/>
    </row>
    <row r="861">
      <c r="A861" s="44"/>
      <c r="C861" s="5"/>
      <c r="E861" s="19"/>
      <c r="F861" s="5"/>
      <c r="H861" s="19"/>
    </row>
    <row r="862">
      <c r="A862" s="44"/>
      <c r="C862" s="5"/>
      <c r="E862" s="19"/>
      <c r="F862" s="5"/>
      <c r="H862" s="19"/>
    </row>
    <row r="863">
      <c r="A863" s="44"/>
      <c r="C863" s="5"/>
      <c r="E863" s="19"/>
      <c r="F863" s="5"/>
      <c r="H863" s="19"/>
    </row>
    <row r="864">
      <c r="A864" s="44"/>
      <c r="C864" s="5"/>
      <c r="E864" s="19"/>
      <c r="F864" s="5"/>
      <c r="H864" s="19"/>
    </row>
    <row r="865">
      <c r="A865" s="44"/>
      <c r="C865" s="5"/>
      <c r="E865" s="19"/>
      <c r="F865" s="5"/>
      <c r="H865" s="19"/>
    </row>
    <row r="866">
      <c r="A866" s="44"/>
      <c r="C866" s="5"/>
      <c r="E866" s="19"/>
      <c r="F866" s="5"/>
      <c r="H866" s="19"/>
    </row>
    <row r="867">
      <c r="A867" s="44"/>
      <c r="C867" s="5"/>
      <c r="E867" s="19"/>
      <c r="F867" s="5"/>
      <c r="H867" s="19"/>
    </row>
    <row r="868">
      <c r="A868" s="44"/>
      <c r="C868" s="5"/>
      <c r="E868" s="19"/>
      <c r="F868" s="5"/>
      <c r="H868" s="19"/>
    </row>
    <row r="869">
      <c r="A869" s="44"/>
      <c r="C869" s="5"/>
      <c r="E869" s="19"/>
      <c r="F869" s="5"/>
      <c r="H869" s="19"/>
    </row>
    <row r="870">
      <c r="A870" s="44"/>
      <c r="C870" s="5"/>
      <c r="E870" s="19"/>
      <c r="F870" s="5"/>
      <c r="H870" s="19"/>
    </row>
    <row r="871">
      <c r="A871" s="44"/>
      <c r="C871" s="5"/>
      <c r="E871" s="19"/>
      <c r="F871" s="5"/>
      <c r="H871" s="19"/>
    </row>
    <row r="872">
      <c r="A872" s="44"/>
      <c r="C872" s="5"/>
      <c r="E872" s="19"/>
      <c r="F872" s="5"/>
      <c r="H872" s="19"/>
    </row>
    <row r="873">
      <c r="A873" s="44"/>
      <c r="C873" s="5"/>
      <c r="E873" s="19"/>
      <c r="F873" s="5"/>
      <c r="H873" s="19"/>
    </row>
    <row r="874">
      <c r="A874" s="44"/>
      <c r="C874" s="5"/>
      <c r="E874" s="19"/>
      <c r="F874" s="5"/>
      <c r="H874" s="19"/>
    </row>
    <row r="875">
      <c r="A875" s="44"/>
      <c r="C875" s="5"/>
      <c r="E875" s="19"/>
      <c r="F875" s="5"/>
      <c r="H875" s="19"/>
    </row>
    <row r="876">
      <c r="A876" s="44"/>
      <c r="C876" s="5"/>
      <c r="E876" s="19"/>
      <c r="F876" s="5"/>
      <c r="H876" s="19"/>
    </row>
    <row r="877">
      <c r="A877" s="44"/>
      <c r="C877" s="5"/>
      <c r="E877" s="19"/>
      <c r="F877" s="5"/>
      <c r="H877" s="19"/>
    </row>
    <row r="878">
      <c r="A878" s="44"/>
      <c r="C878" s="5"/>
      <c r="E878" s="19"/>
      <c r="F878" s="5"/>
      <c r="H878" s="19"/>
    </row>
    <row r="879">
      <c r="A879" s="44"/>
      <c r="C879" s="5"/>
      <c r="E879" s="19"/>
      <c r="F879" s="5"/>
      <c r="H879" s="19"/>
    </row>
    <row r="880">
      <c r="A880" s="44"/>
      <c r="C880" s="5"/>
      <c r="E880" s="19"/>
      <c r="F880" s="5"/>
      <c r="H880" s="19"/>
    </row>
    <row r="881">
      <c r="A881" s="44"/>
      <c r="C881" s="5"/>
      <c r="E881" s="19"/>
      <c r="F881" s="5"/>
      <c r="H881" s="19"/>
    </row>
    <row r="882">
      <c r="A882" s="44"/>
      <c r="C882" s="5"/>
      <c r="E882" s="19"/>
      <c r="F882" s="5"/>
      <c r="H882" s="19"/>
    </row>
    <row r="883">
      <c r="A883" s="44"/>
      <c r="C883" s="5"/>
      <c r="E883" s="19"/>
      <c r="F883" s="5"/>
      <c r="H883" s="19"/>
    </row>
    <row r="884">
      <c r="A884" s="44"/>
      <c r="C884" s="5"/>
      <c r="E884" s="19"/>
      <c r="F884" s="5"/>
      <c r="H884" s="19"/>
    </row>
    <row r="885">
      <c r="A885" s="44"/>
      <c r="C885" s="5"/>
      <c r="E885" s="19"/>
      <c r="F885" s="5"/>
      <c r="H885" s="19"/>
    </row>
    <row r="886">
      <c r="A886" s="44"/>
      <c r="C886" s="5"/>
      <c r="E886" s="19"/>
      <c r="F886" s="5"/>
      <c r="H886" s="19"/>
    </row>
    <row r="887">
      <c r="A887" s="44"/>
      <c r="C887" s="5"/>
      <c r="E887" s="19"/>
      <c r="F887" s="5"/>
      <c r="H887" s="19"/>
    </row>
    <row r="888">
      <c r="A888" s="44"/>
      <c r="C888" s="5"/>
      <c r="E888" s="19"/>
      <c r="F888" s="5"/>
      <c r="H888" s="19"/>
    </row>
    <row r="889">
      <c r="A889" s="44"/>
      <c r="C889" s="5"/>
      <c r="E889" s="19"/>
      <c r="F889" s="5"/>
      <c r="H889" s="19"/>
    </row>
    <row r="890">
      <c r="A890" s="44"/>
      <c r="C890" s="5"/>
      <c r="E890" s="19"/>
      <c r="F890" s="5"/>
      <c r="H890" s="19"/>
    </row>
    <row r="891">
      <c r="A891" s="44"/>
      <c r="C891" s="5"/>
      <c r="E891" s="19"/>
      <c r="F891" s="5"/>
      <c r="H891" s="19"/>
    </row>
    <row r="892">
      <c r="A892" s="44"/>
      <c r="C892" s="5"/>
      <c r="E892" s="19"/>
      <c r="F892" s="5"/>
      <c r="H892" s="19"/>
    </row>
    <row r="893">
      <c r="A893" s="44"/>
      <c r="C893" s="5"/>
      <c r="E893" s="19"/>
      <c r="F893" s="5"/>
      <c r="H893" s="19"/>
    </row>
    <row r="894">
      <c r="A894" s="44"/>
      <c r="C894" s="5"/>
      <c r="E894" s="19"/>
      <c r="F894" s="5"/>
      <c r="H894" s="19"/>
    </row>
    <row r="895">
      <c r="A895" s="44"/>
      <c r="C895" s="5"/>
      <c r="E895" s="19"/>
      <c r="F895" s="5"/>
      <c r="H895" s="19"/>
    </row>
    <row r="896">
      <c r="A896" s="44"/>
      <c r="C896" s="5"/>
      <c r="E896" s="19"/>
      <c r="F896" s="5"/>
      <c r="H896" s="19"/>
    </row>
    <row r="897">
      <c r="A897" s="44"/>
      <c r="C897" s="5"/>
      <c r="E897" s="19"/>
      <c r="F897" s="5"/>
      <c r="H897" s="19"/>
    </row>
    <row r="898">
      <c r="A898" s="44"/>
      <c r="C898" s="5"/>
      <c r="E898" s="19"/>
      <c r="F898" s="5"/>
      <c r="H898" s="19"/>
    </row>
    <row r="899">
      <c r="A899" s="44"/>
      <c r="C899" s="5"/>
      <c r="E899" s="19"/>
      <c r="F899" s="5"/>
      <c r="H899" s="19"/>
    </row>
    <row r="900">
      <c r="A900" s="44"/>
      <c r="C900" s="5"/>
      <c r="E900" s="19"/>
      <c r="F900" s="5"/>
      <c r="H900" s="19"/>
    </row>
    <row r="901">
      <c r="A901" s="44"/>
      <c r="C901" s="5"/>
      <c r="E901" s="19"/>
      <c r="F901" s="5"/>
      <c r="H901" s="19"/>
    </row>
    <row r="902">
      <c r="A902" s="44"/>
      <c r="C902" s="5"/>
      <c r="E902" s="19"/>
      <c r="F902" s="5"/>
      <c r="H902" s="19"/>
    </row>
    <row r="903">
      <c r="A903" s="44"/>
      <c r="C903" s="5"/>
      <c r="E903" s="19"/>
      <c r="F903" s="5"/>
      <c r="H903" s="19"/>
    </row>
    <row r="904">
      <c r="A904" s="44"/>
      <c r="C904" s="5"/>
      <c r="E904" s="19"/>
      <c r="F904" s="5"/>
      <c r="H904" s="19"/>
    </row>
    <row r="905">
      <c r="A905" s="44"/>
      <c r="C905" s="5"/>
      <c r="E905" s="19"/>
      <c r="F905" s="5"/>
      <c r="H905" s="19"/>
    </row>
    <row r="906">
      <c r="A906" s="44"/>
      <c r="C906" s="5"/>
      <c r="E906" s="19"/>
      <c r="F906" s="5"/>
      <c r="H906" s="19"/>
    </row>
    <row r="907">
      <c r="A907" s="44"/>
      <c r="C907" s="5"/>
      <c r="E907" s="19"/>
      <c r="F907" s="5"/>
      <c r="H907" s="19"/>
    </row>
    <row r="908">
      <c r="A908" s="44"/>
      <c r="C908" s="5"/>
      <c r="E908" s="19"/>
      <c r="F908" s="5"/>
      <c r="H908" s="19"/>
    </row>
    <row r="909">
      <c r="A909" s="44"/>
      <c r="C909" s="5"/>
      <c r="E909" s="19"/>
      <c r="F909" s="5"/>
      <c r="H909" s="19"/>
    </row>
    <row r="910">
      <c r="A910" s="44"/>
      <c r="C910" s="5"/>
      <c r="E910" s="19"/>
      <c r="F910" s="5"/>
      <c r="H910" s="19"/>
    </row>
    <row r="911">
      <c r="A911" s="44"/>
      <c r="C911" s="5"/>
      <c r="E911" s="19"/>
      <c r="F911" s="5"/>
      <c r="H911" s="19"/>
    </row>
    <row r="912">
      <c r="A912" s="44"/>
      <c r="C912" s="5"/>
      <c r="E912" s="19"/>
      <c r="F912" s="5"/>
      <c r="H912" s="19"/>
    </row>
    <row r="913">
      <c r="A913" s="44"/>
      <c r="C913" s="5"/>
      <c r="E913" s="19"/>
      <c r="F913" s="5"/>
      <c r="H913" s="19"/>
    </row>
    <row r="914">
      <c r="A914" s="44"/>
      <c r="C914" s="5"/>
      <c r="E914" s="19"/>
      <c r="F914" s="5"/>
      <c r="H914" s="19"/>
    </row>
    <row r="915">
      <c r="A915" s="44"/>
      <c r="C915" s="5"/>
      <c r="E915" s="19"/>
      <c r="F915" s="5"/>
      <c r="H915" s="19"/>
    </row>
    <row r="916">
      <c r="A916" s="44"/>
      <c r="C916" s="5"/>
      <c r="E916" s="19"/>
      <c r="F916" s="5"/>
      <c r="H916" s="19"/>
    </row>
    <row r="917">
      <c r="A917" s="44"/>
      <c r="C917" s="5"/>
      <c r="E917" s="19"/>
      <c r="F917" s="5"/>
      <c r="H917" s="19"/>
    </row>
    <row r="918">
      <c r="A918" s="44"/>
      <c r="C918" s="5"/>
      <c r="E918" s="19"/>
      <c r="F918" s="5"/>
      <c r="H918" s="19"/>
    </row>
    <row r="919">
      <c r="A919" s="44"/>
      <c r="C919" s="5"/>
      <c r="E919" s="19"/>
      <c r="F919" s="5"/>
      <c r="H919" s="19"/>
    </row>
    <row r="920">
      <c r="A920" s="44"/>
      <c r="C920" s="5"/>
      <c r="E920" s="19"/>
      <c r="F920" s="5"/>
      <c r="H920" s="19"/>
    </row>
    <row r="921">
      <c r="A921" s="44"/>
      <c r="C921" s="5"/>
      <c r="E921" s="19"/>
      <c r="F921" s="5"/>
      <c r="H921" s="19"/>
    </row>
    <row r="922">
      <c r="A922" s="44"/>
      <c r="C922" s="5"/>
      <c r="E922" s="19"/>
      <c r="F922" s="5"/>
      <c r="H922" s="19"/>
    </row>
    <row r="923">
      <c r="A923" s="44"/>
      <c r="C923" s="5"/>
      <c r="E923" s="19"/>
      <c r="F923" s="5"/>
      <c r="H923" s="19"/>
    </row>
    <row r="924">
      <c r="A924" s="44"/>
      <c r="C924" s="5"/>
      <c r="E924" s="19"/>
      <c r="F924" s="5"/>
      <c r="H924" s="19"/>
    </row>
    <row r="925">
      <c r="A925" s="44"/>
      <c r="C925" s="5"/>
      <c r="E925" s="19"/>
      <c r="F925" s="5"/>
      <c r="H925" s="19"/>
    </row>
    <row r="926">
      <c r="A926" s="44"/>
      <c r="C926" s="5"/>
      <c r="E926" s="19"/>
      <c r="F926" s="5"/>
      <c r="H926" s="19"/>
    </row>
    <row r="927">
      <c r="A927" s="44"/>
      <c r="C927" s="5"/>
      <c r="E927" s="19"/>
      <c r="F927" s="5"/>
      <c r="H927" s="19"/>
    </row>
    <row r="928">
      <c r="A928" s="44"/>
      <c r="C928" s="5"/>
      <c r="E928" s="19"/>
      <c r="F928" s="5"/>
      <c r="H928" s="19"/>
    </row>
    <row r="929">
      <c r="A929" s="44"/>
      <c r="C929" s="5"/>
      <c r="E929" s="19"/>
      <c r="F929" s="5"/>
      <c r="H929" s="19"/>
    </row>
    <row r="930">
      <c r="A930" s="44"/>
      <c r="C930" s="5"/>
      <c r="E930" s="19"/>
      <c r="F930" s="5"/>
      <c r="H930" s="19"/>
    </row>
    <row r="931">
      <c r="A931" s="44"/>
      <c r="C931" s="5"/>
      <c r="E931" s="19"/>
      <c r="F931" s="5"/>
      <c r="H931" s="19"/>
    </row>
    <row r="932">
      <c r="A932" s="44"/>
      <c r="C932" s="5"/>
      <c r="E932" s="19"/>
      <c r="F932" s="5"/>
      <c r="H932" s="19"/>
    </row>
    <row r="933">
      <c r="A933" s="44"/>
      <c r="C933" s="5"/>
      <c r="E933" s="19"/>
      <c r="F933" s="5"/>
      <c r="H933" s="19"/>
    </row>
    <row r="934">
      <c r="A934" s="44"/>
      <c r="C934" s="5"/>
      <c r="E934" s="19"/>
      <c r="F934" s="5"/>
      <c r="H934" s="19"/>
    </row>
    <row r="935">
      <c r="A935" s="44"/>
      <c r="C935" s="5"/>
      <c r="E935" s="19"/>
      <c r="F935" s="5"/>
      <c r="H935" s="19"/>
    </row>
    <row r="936">
      <c r="A936" s="44"/>
      <c r="C936" s="5"/>
      <c r="E936" s="19"/>
      <c r="F936" s="5"/>
      <c r="H936" s="19"/>
    </row>
    <row r="937">
      <c r="A937" s="44"/>
      <c r="C937" s="5"/>
      <c r="E937" s="19"/>
      <c r="F937" s="5"/>
      <c r="H937" s="19"/>
    </row>
    <row r="938">
      <c r="A938" s="44"/>
      <c r="C938" s="5"/>
      <c r="E938" s="19"/>
      <c r="F938" s="5"/>
      <c r="H938" s="19"/>
    </row>
    <row r="939">
      <c r="A939" s="44"/>
      <c r="C939" s="5"/>
      <c r="E939" s="19"/>
      <c r="F939" s="5"/>
      <c r="H939" s="19"/>
    </row>
    <row r="940">
      <c r="A940" s="44"/>
      <c r="C940" s="5"/>
      <c r="E940" s="19"/>
      <c r="F940" s="5"/>
      <c r="H940" s="19"/>
    </row>
    <row r="941">
      <c r="A941" s="44"/>
      <c r="C941" s="5"/>
      <c r="E941" s="19"/>
      <c r="F941" s="5"/>
      <c r="H941" s="19"/>
    </row>
    <row r="942">
      <c r="A942" s="44"/>
      <c r="C942" s="5"/>
      <c r="E942" s="19"/>
      <c r="F942" s="5"/>
      <c r="H942" s="19"/>
    </row>
    <row r="943">
      <c r="A943" s="44"/>
      <c r="C943" s="5"/>
      <c r="E943" s="19"/>
      <c r="F943" s="5"/>
      <c r="H943" s="19"/>
    </row>
    <row r="944">
      <c r="A944" s="44"/>
      <c r="C944" s="5"/>
      <c r="E944" s="19"/>
      <c r="F944" s="5"/>
      <c r="H944" s="19"/>
    </row>
    <row r="945">
      <c r="A945" s="44"/>
      <c r="C945" s="5"/>
      <c r="E945" s="19"/>
      <c r="F945" s="5"/>
      <c r="H945" s="19"/>
    </row>
    <row r="946">
      <c r="A946" s="44"/>
      <c r="C946" s="5"/>
      <c r="E946" s="19"/>
      <c r="F946" s="5"/>
      <c r="H946" s="19"/>
    </row>
    <row r="947">
      <c r="A947" s="44"/>
      <c r="C947" s="5"/>
      <c r="E947" s="19"/>
      <c r="F947" s="5"/>
      <c r="H947" s="19"/>
    </row>
    <row r="948">
      <c r="A948" s="44"/>
      <c r="C948" s="5"/>
      <c r="E948" s="19"/>
      <c r="F948" s="5"/>
      <c r="H948" s="19"/>
    </row>
    <row r="949">
      <c r="A949" s="44"/>
      <c r="C949" s="5"/>
      <c r="E949" s="19"/>
      <c r="F949" s="5"/>
      <c r="H949" s="19"/>
    </row>
    <row r="950">
      <c r="A950" s="44"/>
      <c r="C950" s="5"/>
      <c r="E950" s="19"/>
      <c r="F950" s="5"/>
      <c r="H950" s="19"/>
    </row>
    <row r="951">
      <c r="A951" s="44"/>
      <c r="C951" s="5"/>
      <c r="E951" s="19"/>
      <c r="F951" s="5"/>
      <c r="H951" s="19"/>
    </row>
    <row r="952">
      <c r="A952" s="44"/>
      <c r="C952" s="5"/>
      <c r="E952" s="19"/>
      <c r="F952" s="5"/>
      <c r="H952" s="19"/>
    </row>
    <row r="953">
      <c r="A953" s="44"/>
      <c r="C953" s="5"/>
      <c r="E953" s="19"/>
      <c r="F953" s="5"/>
      <c r="H953" s="19"/>
    </row>
    <row r="954">
      <c r="A954" s="44"/>
      <c r="C954" s="5"/>
      <c r="E954" s="19"/>
      <c r="F954" s="5"/>
      <c r="H954" s="19"/>
    </row>
    <row r="955">
      <c r="A955" s="44"/>
      <c r="C955" s="5"/>
      <c r="E955" s="19"/>
      <c r="F955" s="5"/>
      <c r="H955" s="19"/>
    </row>
    <row r="956">
      <c r="A956" s="44"/>
      <c r="C956" s="5"/>
      <c r="E956" s="19"/>
      <c r="F956" s="5"/>
      <c r="H956" s="19"/>
    </row>
    <row r="957">
      <c r="A957" s="44"/>
      <c r="C957" s="5"/>
      <c r="E957" s="19"/>
      <c r="F957" s="5"/>
      <c r="H957" s="19"/>
    </row>
    <row r="958">
      <c r="A958" s="44"/>
      <c r="C958" s="5"/>
      <c r="E958" s="19"/>
      <c r="F958" s="5"/>
      <c r="H958" s="19"/>
    </row>
    <row r="959">
      <c r="A959" s="44"/>
      <c r="C959" s="5"/>
      <c r="E959" s="19"/>
      <c r="F959" s="5"/>
      <c r="H959" s="19"/>
    </row>
    <row r="960">
      <c r="A960" s="44"/>
      <c r="C960" s="5"/>
      <c r="E960" s="19"/>
      <c r="F960" s="5"/>
      <c r="H960" s="19"/>
    </row>
    <row r="961">
      <c r="A961" s="44"/>
      <c r="C961" s="5"/>
      <c r="E961" s="19"/>
      <c r="F961" s="5"/>
      <c r="H961" s="19"/>
    </row>
    <row r="962">
      <c r="A962" s="44"/>
      <c r="C962" s="5"/>
      <c r="E962" s="19"/>
      <c r="F962" s="5"/>
      <c r="H962" s="19"/>
    </row>
    <row r="963">
      <c r="A963" s="44"/>
      <c r="C963" s="5"/>
      <c r="E963" s="19"/>
      <c r="F963" s="5"/>
      <c r="H963" s="19"/>
    </row>
    <row r="964">
      <c r="A964" s="44"/>
      <c r="C964" s="5"/>
      <c r="E964" s="19"/>
      <c r="F964" s="5"/>
      <c r="H964" s="19"/>
    </row>
    <row r="965">
      <c r="A965" s="44"/>
      <c r="C965" s="5"/>
      <c r="E965" s="19"/>
      <c r="F965" s="5"/>
      <c r="H965" s="19"/>
    </row>
    <row r="966">
      <c r="A966" s="44"/>
      <c r="C966" s="5"/>
      <c r="E966" s="19"/>
      <c r="F966" s="5"/>
      <c r="H966" s="19"/>
    </row>
    <row r="967">
      <c r="A967" s="44"/>
      <c r="C967" s="5"/>
      <c r="E967" s="19"/>
      <c r="F967" s="5"/>
      <c r="H967" s="19"/>
    </row>
    <row r="968">
      <c r="A968" s="44"/>
      <c r="C968" s="5"/>
      <c r="E968" s="19"/>
      <c r="F968" s="5"/>
      <c r="H968" s="19"/>
    </row>
    <row r="969">
      <c r="A969" s="44"/>
      <c r="C969" s="5"/>
      <c r="E969" s="19"/>
      <c r="F969" s="5"/>
      <c r="H969" s="19"/>
    </row>
    <row r="970">
      <c r="A970" s="44"/>
      <c r="C970" s="5"/>
      <c r="E970" s="19"/>
      <c r="F970" s="5"/>
      <c r="H970" s="19"/>
    </row>
    <row r="971">
      <c r="A971" s="44"/>
      <c r="C971" s="5"/>
      <c r="E971" s="19"/>
      <c r="F971" s="5"/>
      <c r="H971" s="19"/>
    </row>
    <row r="972">
      <c r="A972" s="44"/>
      <c r="C972" s="5"/>
      <c r="E972" s="19"/>
      <c r="F972" s="5"/>
      <c r="H972" s="19"/>
    </row>
    <row r="973">
      <c r="A973" s="44"/>
      <c r="C973" s="5"/>
      <c r="E973" s="19"/>
      <c r="F973" s="5"/>
      <c r="H973" s="19"/>
    </row>
    <row r="974">
      <c r="A974" s="44"/>
      <c r="C974" s="5"/>
      <c r="E974" s="19"/>
      <c r="F974" s="5"/>
      <c r="H974" s="19"/>
    </row>
    <row r="975">
      <c r="A975" s="44"/>
      <c r="C975" s="5"/>
      <c r="E975" s="19"/>
      <c r="F975" s="5"/>
      <c r="H975" s="19"/>
    </row>
    <row r="976">
      <c r="A976" s="44"/>
      <c r="C976" s="5"/>
      <c r="E976" s="19"/>
      <c r="F976" s="5"/>
      <c r="H976" s="19"/>
    </row>
    <row r="977">
      <c r="A977" s="44"/>
      <c r="C977" s="5"/>
      <c r="E977" s="19"/>
      <c r="F977" s="5"/>
      <c r="H977" s="19"/>
    </row>
    <row r="978">
      <c r="A978" s="44"/>
      <c r="C978" s="5"/>
      <c r="E978" s="19"/>
      <c r="F978" s="5"/>
      <c r="H978" s="19"/>
    </row>
    <row r="979">
      <c r="A979" s="44"/>
      <c r="C979" s="5"/>
      <c r="E979" s="19"/>
      <c r="F979" s="5"/>
      <c r="H979" s="19"/>
    </row>
    <row r="980">
      <c r="A980" s="44"/>
      <c r="C980" s="5"/>
      <c r="E980" s="19"/>
      <c r="F980" s="5"/>
      <c r="H980" s="19"/>
    </row>
    <row r="981">
      <c r="A981" s="44"/>
      <c r="C981" s="5"/>
      <c r="E981" s="19"/>
      <c r="F981" s="5"/>
      <c r="H981" s="19"/>
    </row>
    <row r="982">
      <c r="A982" s="44"/>
      <c r="C982" s="5"/>
      <c r="E982" s="19"/>
      <c r="F982" s="5"/>
      <c r="H982" s="19"/>
    </row>
    <row r="983">
      <c r="A983" s="44"/>
      <c r="C983" s="5"/>
      <c r="E983" s="19"/>
      <c r="F983" s="5"/>
      <c r="H983" s="19"/>
    </row>
    <row r="984">
      <c r="A984" s="44"/>
      <c r="C984" s="5"/>
      <c r="E984" s="19"/>
      <c r="F984" s="5"/>
      <c r="H984" s="19"/>
    </row>
    <row r="985">
      <c r="A985" s="44"/>
      <c r="C985" s="5"/>
      <c r="E985" s="19"/>
      <c r="F985" s="5"/>
      <c r="H985" s="19"/>
    </row>
    <row r="986">
      <c r="A986" s="44"/>
      <c r="C986" s="5"/>
      <c r="E986" s="19"/>
      <c r="F986" s="5"/>
      <c r="H986" s="19"/>
    </row>
    <row r="987">
      <c r="A987" s="44"/>
      <c r="C987" s="5"/>
      <c r="E987" s="19"/>
      <c r="F987" s="5"/>
      <c r="H987" s="19"/>
    </row>
    <row r="988">
      <c r="A988" s="44"/>
      <c r="C988" s="5"/>
      <c r="E988" s="19"/>
      <c r="F988" s="5"/>
      <c r="H988" s="19"/>
    </row>
    <row r="989">
      <c r="A989" s="44"/>
      <c r="C989" s="5"/>
      <c r="E989" s="19"/>
      <c r="F989" s="5"/>
      <c r="H989" s="19"/>
    </row>
    <row r="990">
      <c r="A990" s="44"/>
      <c r="C990" s="5"/>
      <c r="E990" s="19"/>
      <c r="F990" s="5"/>
      <c r="H990" s="19"/>
    </row>
    <row r="991">
      <c r="A991" s="44"/>
      <c r="C991" s="5"/>
      <c r="E991" s="19"/>
      <c r="F991" s="5"/>
      <c r="H991" s="19"/>
    </row>
    <row r="992">
      <c r="A992" s="44"/>
      <c r="C992" s="5"/>
      <c r="E992" s="19"/>
      <c r="F992" s="5"/>
      <c r="H992" s="19"/>
    </row>
    <row r="993">
      <c r="A993" s="44"/>
      <c r="C993" s="5"/>
      <c r="E993" s="19"/>
      <c r="F993" s="5"/>
      <c r="H993" s="19"/>
    </row>
    <row r="994">
      <c r="A994" s="44"/>
      <c r="C994" s="5"/>
      <c r="E994" s="19"/>
      <c r="F994" s="5"/>
      <c r="H994" s="19"/>
    </row>
    <row r="995">
      <c r="A995" s="44"/>
      <c r="C995" s="5"/>
      <c r="E995" s="19"/>
      <c r="F995" s="5"/>
      <c r="H995" s="19"/>
    </row>
    <row r="996">
      <c r="A996" s="44"/>
      <c r="C996" s="5"/>
      <c r="E996" s="19"/>
      <c r="F996" s="5"/>
      <c r="H996" s="19"/>
    </row>
    <row r="997">
      <c r="A997" s="44"/>
      <c r="C997" s="5"/>
      <c r="E997" s="19"/>
      <c r="F997" s="5"/>
      <c r="H997" s="19"/>
    </row>
    <row r="998">
      <c r="A998" s="44"/>
      <c r="C998" s="5"/>
      <c r="E998" s="19"/>
      <c r="F998" s="5"/>
      <c r="H998" s="19"/>
    </row>
    <row r="999">
      <c r="A999" s="44"/>
      <c r="C999" s="5"/>
      <c r="E999" s="19"/>
      <c r="F999" s="5"/>
      <c r="H999" s="19"/>
    </row>
    <row r="1000">
      <c r="A1000" s="44"/>
      <c r="C1000" s="5"/>
      <c r="E1000" s="19"/>
      <c r="F1000" s="5"/>
      <c r="H1000" s="19"/>
    </row>
  </sheetData>
  <conditionalFormatting sqref="F12">
    <cfRule type="cellIs" dxfId="3" priority="1" operator="greaterThan">
      <formula>0</formula>
    </cfRule>
  </conditionalFormatting>
  <conditionalFormatting sqref="I1">
    <cfRule type="cellIs" dxfId="1" priority="2" operator="lessThan">
      <formula>0</formula>
    </cfRule>
  </conditionalFormatting>
  <conditionalFormatting sqref="I1">
    <cfRule type="cellIs" dxfId="0" priority="3" operator="greaterThan">
      <formula>0</formula>
    </cfRule>
  </conditionalFormatting>
  <drawing r:id="rId1"/>
</worksheet>
</file>