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1d5b7141008e847/Julkiset/"/>
    </mc:Choice>
  </mc:AlternateContent>
  <xr:revisionPtr revIDLastSave="731" documentId="8_{45702357-D6A7-4ABD-904D-A6F59F38FD28}" xr6:coauthVersionLast="47" xr6:coauthVersionMax="47" xr10:uidLastSave="{A34A2BF5-FD33-49D6-8DBA-46FCB79CDE19}"/>
  <bookViews>
    <workbookView xWindow="885" yWindow="12240" windowWidth="20130" windowHeight="16200" xr2:uid="{F636714E-48EB-4F2C-A90F-78103E777235}"/>
  </bookViews>
  <sheets>
    <sheet name="Usage" sheetId="7" r:id="rId1"/>
    <sheet name="Calculator" sheetId="4" r:id="rId2"/>
    <sheet name="Sentinel prices" sheetId="6" state="hidden" r:id="rId3"/>
  </sheets>
  <definedNames>
    <definedName name="ExternalData_1" localSheetId="2" hidden="1">'Sentinel prices'!$A$1:$AA$31</definedName>
    <definedName name="URL">Calculator!$Q$1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1" i="4" l="1"/>
  <c r="S42" i="4"/>
  <c r="S43" i="4"/>
  <c r="S44" i="4"/>
  <c r="S45" i="4"/>
  <c r="S46" i="4"/>
  <c r="S47" i="4"/>
  <c r="S48" i="4"/>
  <c r="S49" i="4"/>
  <c r="S50" i="4"/>
  <c r="S51" i="4"/>
  <c r="S52" i="4"/>
  <c r="S53" i="4"/>
  <c r="S40" i="4"/>
  <c r="V53" i="4"/>
  <c r="V52" i="4"/>
  <c r="V51" i="4"/>
  <c r="V50" i="4"/>
  <c r="V49" i="4"/>
  <c r="V48" i="4"/>
  <c r="V47" i="4"/>
  <c r="V46" i="4"/>
  <c r="V45" i="4"/>
  <c r="V44" i="4"/>
  <c r="V43" i="4"/>
  <c r="C11" i="4" a="1"/>
  <c r="C11" i="4" s="1"/>
  <c r="D71" i="4"/>
  <c r="Q1" i="4"/>
  <c r="S55" i="4" l="1"/>
  <c r="C10" i="4" a="1"/>
  <c r="C10" i="4" s="1"/>
  <c r="P1" i="4"/>
  <c r="C13" i="4" a="1"/>
  <c r="C13" i="4" s="1"/>
  <c r="C12" i="4" a="1"/>
  <c r="C12" i="4" s="1"/>
  <c r="O4" i="4" a="1"/>
  <c r="O4" i="4" s="1"/>
  <c r="P4" i="4" s="1"/>
  <c r="O3" i="4" a="1"/>
  <c r="O3" i="4" s="1"/>
  <c r="P3" i="4" s="1"/>
  <c r="O1" i="4"/>
  <c r="O11" i="4" a="1"/>
  <c r="O11" i="4" s="1"/>
  <c r="P11" i="4" s="1"/>
  <c r="O10" i="4" a="1"/>
  <c r="O10" i="4" s="1"/>
  <c r="P10" i="4" s="1"/>
  <c r="O9" i="4" a="1"/>
  <c r="O9" i="4" s="1"/>
  <c r="P9" i="4" s="1"/>
  <c r="O8" i="4" a="1"/>
  <c r="O8" i="4" s="1"/>
  <c r="P8" i="4" s="1"/>
  <c r="O7" i="4" a="1"/>
  <c r="O7" i="4" s="1"/>
  <c r="P7" i="4" s="1"/>
  <c r="O6" i="4" a="1"/>
  <c r="O6" i="4" s="1"/>
  <c r="P6" i="4" s="1"/>
  <c r="O5" i="4" a="1"/>
  <c r="O5" i="4" s="1"/>
  <c r="P5" i="4" s="1"/>
  <c r="G6" i="4"/>
  <c r="G5" i="4"/>
  <c r="C14" i="4"/>
  <c r="E21" i="4"/>
  <c r="E20" i="4"/>
  <c r="E12" i="4"/>
  <c r="F12" i="4" s="1"/>
  <c r="E11" i="4"/>
  <c r="F11" i="4" s="1"/>
  <c r="D45" i="4"/>
  <c r="T45" i="4" s="1"/>
  <c r="D46" i="4"/>
  <c r="T46" i="4" s="1"/>
  <c r="D47" i="4"/>
  <c r="T47" i="4" s="1"/>
  <c r="D48" i="4"/>
  <c r="T48" i="4" s="1"/>
  <c r="D49" i="4"/>
  <c r="T49" i="4" s="1"/>
  <c r="D50" i="4"/>
  <c r="T50" i="4" s="1"/>
  <c r="D51" i="4"/>
  <c r="T51" i="4" s="1"/>
  <c r="D27" i="4"/>
  <c r="D28" i="4"/>
  <c r="D29" i="4"/>
  <c r="D30" i="4"/>
  <c r="D31" i="4"/>
  <c r="D26" i="4"/>
  <c r="D24" i="4"/>
  <c r="D25" i="4"/>
  <c r="C55" i="4"/>
  <c r="D32" i="4"/>
  <c r="D33" i="4"/>
  <c r="C35" i="4"/>
  <c r="D21" i="4"/>
  <c r="D20" i="4"/>
  <c r="D43" i="4"/>
  <c r="T43" i="4" s="1"/>
  <c r="D44" i="4"/>
  <c r="T44" i="4" s="1"/>
  <c r="D52" i="4"/>
  <c r="T52" i="4" s="1"/>
  <c r="D53" i="4"/>
  <c r="T53" i="4" s="1"/>
  <c r="D42" i="4"/>
  <c r="T42" i="4" s="1"/>
  <c r="D23" i="4"/>
  <c r="D22" i="4"/>
  <c r="D41" i="4"/>
  <c r="T41" i="4" s="1"/>
  <c r="D40" i="4"/>
  <c r="T40" i="4" s="1"/>
  <c r="V42" i="4" l="1"/>
  <c r="V40" i="4"/>
  <c r="V41" i="4"/>
  <c r="F22" i="4"/>
  <c r="N20" i="4"/>
  <c r="K47" i="4"/>
  <c r="M30" i="4"/>
  <c r="M23" i="4"/>
  <c r="M31" i="4"/>
  <c r="M26" i="4"/>
  <c r="M33" i="4"/>
  <c r="M29" i="4"/>
  <c r="M25" i="4"/>
  <c r="M27" i="4"/>
  <c r="M24" i="4"/>
  <c r="M22" i="4"/>
  <c r="M21" i="4"/>
  <c r="M32" i="4"/>
  <c r="M28" i="4"/>
  <c r="D35" i="4"/>
  <c r="M20" i="4"/>
  <c r="E24" i="4"/>
  <c r="T55" i="4"/>
  <c r="D55" i="4"/>
  <c r="E22" i="4"/>
  <c r="G9" i="4" s="1"/>
  <c r="K49" i="4"/>
  <c r="K52" i="4"/>
  <c r="K45" i="4"/>
  <c r="N27" i="4"/>
  <c r="N40" i="4"/>
  <c r="N26" i="4"/>
  <c r="N48" i="4"/>
  <c r="N45" i="4"/>
  <c r="N30" i="4"/>
  <c r="K51" i="4"/>
  <c r="N25" i="4"/>
  <c r="N29" i="4"/>
  <c r="K41" i="4"/>
  <c r="N21" i="4"/>
  <c r="N50" i="4"/>
  <c r="N33" i="4"/>
  <c r="N42" i="4"/>
  <c r="N44" i="4"/>
  <c r="N46" i="4"/>
  <c r="N22" i="4"/>
  <c r="N31" i="4"/>
  <c r="N53" i="4"/>
  <c r="N28" i="4"/>
  <c r="N41" i="4"/>
  <c r="N43" i="4"/>
  <c r="N52" i="4"/>
  <c r="N32" i="4"/>
  <c r="N23" i="4"/>
  <c r="N47" i="4"/>
  <c r="N49" i="4"/>
  <c r="N51" i="4"/>
  <c r="N24" i="4"/>
  <c r="K46" i="4"/>
  <c r="K48" i="4"/>
  <c r="K50" i="4"/>
  <c r="K43" i="4"/>
  <c r="K44" i="4"/>
  <c r="K42" i="4"/>
  <c r="K53" i="4"/>
  <c r="K40" i="4"/>
  <c r="C9" i="4" l="1"/>
  <c r="K9" i="4" s="1"/>
  <c r="P20" i="4"/>
  <c r="P47" i="4"/>
  <c r="M35" i="4"/>
  <c r="C63" i="4" s="1"/>
  <c r="P21" i="4"/>
  <c r="P23" i="4"/>
  <c r="P49" i="4"/>
  <c r="P50" i="4"/>
  <c r="P48" i="4"/>
  <c r="P46" i="4"/>
  <c r="P45" i="4"/>
  <c r="P52" i="4"/>
  <c r="P51" i="4"/>
  <c r="P42" i="4"/>
  <c r="P44" i="4"/>
  <c r="P43" i="4"/>
  <c r="P40" i="4"/>
  <c r="K55" i="4"/>
  <c r="C65" i="4" s="1"/>
  <c r="N35" i="4"/>
  <c r="C64" i="4" s="1"/>
  <c r="P41" i="4"/>
  <c r="N55" i="4"/>
  <c r="C66" i="4" s="1"/>
  <c r="P53" i="4"/>
  <c r="V55" i="4"/>
  <c r="C67" i="4" s="1"/>
  <c r="K24" i="4" l="1"/>
  <c r="P24" i="4" s="1"/>
  <c r="W45" i="4"/>
  <c r="X45" i="4" s="1"/>
  <c r="Z45" i="4" s="1"/>
  <c r="K22" i="4"/>
  <c r="P22" i="4" s="1"/>
  <c r="K25" i="4"/>
  <c r="W43" i="4"/>
  <c r="X43" i="4" s="1"/>
  <c r="Z43" i="4" s="1"/>
  <c r="W52" i="4"/>
  <c r="X52" i="4" s="1"/>
  <c r="Z52" i="4" s="1"/>
  <c r="W42" i="4"/>
  <c r="W49" i="4"/>
  <c r="X49" i="4" s="1"/>
  <c r="Z49" i="4" s="1"/>
  <c r="K29" i="4"/>
  <c r="P29" i="4" s="1"/>
  <c r="W53" i="4"/>
  <c r="X53" i="4" s="1"/>
  <c r="Z53" i="4" s="1"/>
  <c r="W44" i="4"/>
  <c r="X44" i="4" s="1"/>
  <c r="Z44" i="4" s="1"/>
  <c r="K28" i="4"/>
  <c r="P28" i="4" s="1"/>
  <c r="K30" i="4"/>
  <c r="P30" i="4" s="1"/>
  <c r="W46" i="4"/>
  <c r="X46" i="4" s="1"/>
  <c r="Z46" i="4" s="1"/>
  <c r="W40" i="4"/>
  <c r="X40" i="4" s="1"/>
  <c r="Z40" i="4" s="1"/>
  <c r="W41" i="4"/>
  <c r="X41" i="4" s="1"/>
  <c r="Z41" i="4" s="1"/>
  <c r="K32" i="4"/>
  <c r="P32" i="4" s="1"/>
  <c r="K26" i="4"/>
  <c r="P26" i="4" s="1"/>
  <c r="W50" i="4"/>
  <c r="X50" i="4" s="1"/>
  <c r="Z50" i="4" s="1"/>
  <c r="W47" i="4"/>
  <c r="X47" i="4" s="1"/>
  <c r="Z47" i="4" s="1"/>
  <c r="W48" i="4"/>
  <c r="X48" i="4" s="1"/>
  <c r="Z48" i="4" s="1"/>
  <c r="W51" i="4"/>
  <c r="X51" i="4" s="1"/>
  <c r="Z51" i="4" s="1"/>
  <c r="K31" i="4"/>
  <c r="P31" i="4" s="1"/>
  <c r="K33" i="4"/>
  <c r="P33" i="4" s="1"/>
  <c r="K27" i="4"/>
  <c r="P27" i="4" s="1"/>
  <c r="P55" i="4"/>
  <c r="K35" i="4" l="1"/>
  <c r="C62" i="4" s="1"/>
  <c r="P25" i="4"/>
  <c r="P35" i="4" s="1"/>
  <c r="W55" i="4"/>
  <c r="C68" i="4" s="1"/>
  <c r="X42" i="4"/>
  <c r="Z42" i="4" s="1"/>
  <c r="Z55" i="4" s="1"/>
  <c r="X55" i="4" l="1"/>
  <c r="C7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entinel prices" description="Connection to the 'Sentinel prices' query in the workbook." type="5" refreshedVersion="8" background="1" saveData="1">
    <dbPr connection="Provider=Microsoft.Mashup.OleDb.1;Data Source=$Workbook$;Location=&quot;Sentinel prices&quot;;Extended Properties=&quot;&quot;" command="SELECT * FROM [Sentinel pric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<sst xmlns="http://schemas.openxmlformats.org/spreadsheetml/2006/main" count="749" uniqueCount="318">
  <si>
    <t>Analytics retention GB/month</t>
  </si>
  <si>
    <t>Raw to summary ratio</t>
  </si>
  <si>
    <t>Summary ingestion</t>
  </si>
  <si>
    <t>Total per month</t>
  </si>
  <si>
    <t>Summary scan</t>
  </si>
  <si>
    <t>Ingestion per day (GB)</t>
  </si>
  <si>
    <t>Microsoft Sentinel Pricing | Microsoft Azure</t>
  </si>
  <si>
    <t>Data Lake ingestion per GB</t>
  </si>
  <si>
    <t>Data Lake scanned data per GB</t>
  </si>
  <si>
    <t>Data lake ingestion</t>
  </si>
  <si>
    <t>Data Lake retention/storage per GB/month</t>
  </si>
  <si>
    <t>Ingestion per month (GB)</t>
  </si>
  <si>
    <t>DNS</t>
  </si>
  <si>
    <t>Log source x</t>
  </si>
  <si>
    <t>Grand total</t>
  </si>
  <si>
    <t>Data Lake storage compression</t>
  </si>
  <si>
    <t>Log source y</t>
  </si>
  <si>
    <t>Analytics ingestion</t>
  </si>
  <si>
    <t>Linux Servers</t>
  </si>
  <si>
    <t>Analytics ingestion per GB</t>
  </si>
  <si>
    <t>Summary rules</t>
  </si>
  <si>
    <t>Retention</t>
  </si>
  <si>
    <t>Total retention (months)</t>
  </si>
  <si>
    <t>Analytics retention (months)</t>
  </si>
  <si>
    <t>Analytics retention</t>
  </si>
  <si>
    <t>Long-term retention</t>
  </si>
  <si>
    <t>Total</t>
  </si>
  <si>
    <t>Ingest+Summary Total</t>
  </si>
  <si>
    <t>Analytics extra retention</t>
  </si>
  <si>
    <t>Long-term retention for analytics sources</t>
  </si>
  <si>
    <t>Data lake retention</t>
  </si>
  <si>
    <t>Summary of costs</t>
  </si>
  <si>
    <t>M365 E5 benefit (# of seats)</t>
  </si>
  <si>
    <t>MDSp2 benefit (# of servers)</t>
  </si>
  <si>
    <r>
      <rPr>
        <sz val="9"/>
        <color rgb="FF1E1E1E"/>
        <rFont val="Segoe UI"/>
        <family val="2"/>
      </rPr>
      <t>Azure Activity (control plane) -</t>
    </r>
    <r>
      <rPr>
        <b/>
        <sz val="9"/>
        <color rgb="FF1E1E1E"/>
        <rFont val="Segoe UI"/>
        <family val="2"/>
      </rPr>
      <t xml:space="preserve"> FREE</t>
    </r>
  </si>
  <si>
    <r>
      <rPr>
        <sz val="9"/>
        <color rgb="FF1E1E1E"/>
        <rFont val="Segoe UI"/>
        <family val="2"/>
      </rPr>
      <t xml:space="preserve">Microsoft 365 - </t>
    </r>
    <r>
      <rPr>
        <b/>
        <sz val="9"/>
        <color rgb="FF1E1E1E"/>
        <rFont val="Segoe UI"/>
        <family val="2"/>
      </rPr>
      <t>FREE</t>
    </r>
  </si>
  <si>
    <r>
      <t xml:space="preserve">Windows Servers - </t>
    </r>
    <r>
      <rPr>
        <b/>
        <sz val="9"/>
        <color rgb="FF1E1E1E"/>
        <rFont val="Segoe UI"/>
        <family val="2"/>
      </rPr>
      <t>MDSp2 BENEFIT</t>
    </r>
  </si>
  <si>
    <r>
      <t xml:space="preserve">Entra - </t>
    </r>
    <r>
      <rPr>
        <b/>
        <sz val="9"/>
        <color rgb="FF1E1E1E"/>
        <rFont val="Segoe UI"/>
        <family val="2"/>
      </rPr>
      <t>E5 BENEFIT</t>
    </r>
  </si>
  <si>
    <r>
      <t xml:space="preserve">Defender XDR - </t>
    </r>
    <r>
      <rPr>
        <b/>
        <sz val="9"/>
        <color rgb="FF1E1E1E"/>
        <rFont val="Segoe UI"/>
        <family val="2"/>
      </rPr>
      <t>E5 BENEFIT</t>
    </r>
  </si>
  <si>
    <t>Log source z</t>
  </si>
  <si>
    <t>per day</t>
  </si>
  <si>
    <t>per month</t>
  </si>
  <si>
    <t>Summary rules scan</t>
  </si>
  <si>
    <t>Summary rules ingestion (analytics)</t>
  </si>
  <si>
    <t>BillingCurrency</t>
  </si>
  <si>
    <t>CustomerEntityId</t>
  </si>
  <si>
    <t>CustomerEntityType</t>
  </si>
  <si>
    <t>Items.currencyCode</t>
  </si>
  <si>
    <t>Items.tierMinimumUnits</t>
  </si>
  <si>
    <t>Items.reservationTerm</t>
  </si>
  <si>
    <t>Items.retailPrice</t>
  </si>
  <si>
    <t>Items.unitPrice</t>
  </si>
  <si>
    <t>Items.armRegionName</t>
  </si>
  <si>
    <t>Items.location</t>
  </si>
  <si>
    <t>Items.effectiveStartDate</t>
  </si>
  <si>
    <t>Items.effectiveEndDate</t>
  </si>
  <si>
    <t>Items.meterId</t>
  </si>
  <si>
    <t>Items.meterName</t>
  </si>
  <si>
    <t>Items.productId</t>
  </si>
  <si>
    <t>Items.skuId</t>
  </si>
  <si>
    <t>Items.productName</t>
  </si>
  <si>
    <t>Items.skuName</t>
  </si>
  <si>
    <t>Items.serviceName</t>
  </si>
  <si>
    <t>Items.serviceId</t>
  </si>
  <si>
    <t>Items.serviceFamily</t>
  </si>
  <si>
    <t>Items.unitOfMeasure</t>
  </si>
  <si>
    <t>Items.type</t>
  </si>
  <si>
    <t>Items.isPrimaryMeterRegion</t>
  </si>
  <si>
    <t>Items.armSkuName</t>
  </si>
  <si>
    <t>NextPageLink</t>
  </si>
  <si>
    <t>Count</t>
  </si>
  <si>
    <t>USD</t>
  </si>
  <si>
    <t>Default</t>
  </si>
  <si>
    <t>Retail</t>
  </si>
  <si>
    <t>US Gov AZ</t>
  </si>
  <si>
    <t>Pay-as-you-go Analysis</t>
  </si>
  <si>
    <t>DZH318Z0CF6H</t>
  </si>
  <si>
    <t>Sentinel</t>
  </si>
  <si>
    <t>Pay-as-you-go</t>
  </si>
  <si>
    <t>DZH317M2MHR4</t>
  </si>
  <si>
    <t>Management and Governance</t>
  </si>
  <si>
    <t>1 GB</t>
  </si>
  <si>
    <t>Consumption</t>
  </si>
  <si>
    <t>KR South</t>
  </si>
  <si>
    <t>1000 GB Commitment Tier Capacity Reservation</t>
  </si>
  <si>
    <t>1000 GB Commitment Tier</t>
  </si>
  <si>
    <t>1/Day</t>
  </si>
  <si>
    <t>AE Central</t>
  </si>
  <si>
    <t>200 GB Commitment Tier Capacity Reservation</t>
  </si>
  <si>
    <t>200 GB Commitment Tier</t>
  </si>
  <si>
    <t>US West Central</t>
  </si>
  <si>
    <t>EU West</t>
  </si>
  <si>
    <t>Free Benefit - M365 Defender Analysis</t>
  </si>
  <si>
    <t>Free Benefit - M365 Defender</t>
  </si>
  <si>
    <t/>
  </si>
  <si>
    <t>FR South</t>
  </si>
  <si>
    <t>AU Southeast</t>
  </si>
  <si>
    <t>500 GB Commitment Tier Capacity Reservation</t>
  </si>
  <si>
    <t>500 GB Commitment Tier</t>
  </si>
  <si>
    <t>US East</t>
  </si>
  <si>
    <t>Solution for SAP Applications Hourly</t>
  </si>
  <si>
    <t>Solution for SAP Applications</t>
  </si>
  <si>
    <t>1/Hour</t>
  </si>
  <si>
    <t>AP Southeast</t>
  </si>
  <si>
    <t>Basic Logs Analysis</t>
  </si>
  <si>
    <t>Basic Logs</t>
  </si>
  <si>
    <t>JA East</t>
  </si>
  <si>
    <t>300 GB Commitment Tier Capacity Reservation</t>
  </si>
  <si>
    <t>300 GB Commitment Tier</t>
  </si>
  <si>
    <t>AU East</t>
  </si>
  <si>
    <t>100 GB Commitment Tier Capacity Reservation</t>
  </si>
  <si>
    <t>100 GB Commitment Tier</t>
  </si>
  <si>
    <t>IN West Jio</t>
  </si>
  <si>
    <t>50000 GB Commitment Tier Capacity Reservation</t>
  </si>
  <si>
    <t>50000 GB Commitment Tier</t>
  </si>
  <si>
    <t>US North Central</t>
  </si>
  <si>
    <t>UK West</t>
  </si>
  <si>
    <t>2000 GB Commitment Tier Capacity Reservation</t>
  </si>
  <si>
    <t>2000 GB Commitment Tier</t>
  </si>
  <si>
    <t>Data lake storage Data Stored</t>
  </si>
  <si>
    <t>Data lake storage</t>
  </si>
  <si>
    <t>1 GB/Month</t>
  </si>
  <si>
    <t>Data lake Storage</t>
  </si>
  <si>
    <t>US West</t>
  </si>
  <si>
    <t>25000 GB Commitment Tier Capacity Reservation</t>
  </si>
  <si>
    <t>25000 GB Commitment Tier</t>
  </si>
  <si>
    <t>ES Central</t>
  </si>
  <si>
    <t>IN West</t>
  </si>
  <si>
    <t>CH North</t>
  </si>
  <si>
    <t>IN Central</t>
  </si>
  <si>
    <t>UK South</t>
  </si>
  <si>
    <t>US Gov Virginia</t>
  </si>
  <si>
    <t>BR South</t>
  </si>
  <si>
    <t>Classic Auxiliary Logs Analysis</t>
  </si>
  <si>
    <t>5000 GB Commitment Tier Capacity Reservation</t>
  </si>
  <si>
    <t>5000 GB Commitment Tier</t>
  </si>
  <si>
    <t>IT North</t>
  </si>
  <si>
    <t>AU Central 2</t>
  </si>
  <si>
    <t>SE South</t>
  </si>
  <si>
    <t>400 GB Commitment Tier Capacity Reservation</t>
  </si>
  <si>
    <t>400 GB Commitment Tier</t>
  </si>
  <si>
    <t>FR Central</t>
  </si>
  <si>
    <t>JA West</t>
  </si>
  <si>
    <t>EU North</t>
  </si>
  <si>
    <t>7c409e34-3ad9-4cf0-8860-9697d6a2ea3e</t>
  </si>
  <si>
    <t>Free Trial Analysis</t>
  </si>
  <si>
    <t>Free Trial</t>
  </si>
  <si>
    <t>CA Central</t>
  </si>
  <si>
    <t>IN Central Jio</t>
  </si>
  <si>
    <t>10000 GB Commitment Tier Capacity Reservation</t>
  </si>
  <si>
    <t>10000 GB Commitment Tier</t>
  </si>
  <si>
    <t>ZA West</t>
  </si>
  <si>
    <t>IL Central</t>
  </si>
  <si>
    <t>KR Central</t>
  </si>
  <si>
    <t>CH West</t>
  </si>
  <si>
    <t>BR Southeast</t>
  </si>
  <si>
    <t>NO West</t>
  </si>
  <si>
    <t>AU Central</t>
  </si>
  <si>
    <t>US West 2</t>
  </si>
  <si>
    <t>SE Central</t>
  </si>
  <si>
    <t>Data lake query Data Analyzed</t>
  </si>
  <si>
    <t>Data lake query</t>
  </si>
  <si>
    <t>AP East</t>
  </si>
  <si>
    <t>ZA North</t>
  </si>
  <si>
    <t>MX Central</t>
  </si>
  <si>
    <t>US South Central</t>
  </si>
  <si>
    <t>US Central</t>
  </si>
  <si>
    <t>Data lake ingestion Data Processed</t>
  </si>
  <si>
    <t>Advanced Data Insights</t>
  </si>
  <si>
    <t>1 Hour</t>
  </si>
  <si>
    <t>QA Central</t>
  </si>
  <si>
    <t>NO East</t>
  </si>
  <si>
    <t>US East 2</t>
  </si>
  <si>
    <t>US West 3</t>
  </si>
  <si>
    <t>IN South</t>
  </si>
  <si>
    <t>AE North</t>
  </si>
  <si>
    <t>DE West Central</t>
  </si>
  <si>
    <t>CA East</t>
  </si>
  <si>
    <t>Sentinel region</t>
  </si>
  <si>
    <t>EUR</t>
  </si>
  <si>
    <t>Currency</t>
  </si>
  <si>
    <t>PRICE</t>
  </si>
  <si>
    <t>PRICE PER GB</t>
  </si>
  <si>
    <t>AUD</t>
  </si>
  <si>
    <t>BRL</t>
  </si>
  <si>
    <t>GBP</t>
  </si>
  <si>
    <t>CAD</t>
  </si>
  <si>
    <t>CNY</t>
  </si>
  <si>
    <t>DKK</t>
  </si>
  <si>
    <t>INR</t>
  </si>
  <si>
    <t>JPY</t>
  </si>
  <si>
    <t>KRW</t>
  </si>
  <si>
    <t>NZD</t>
  </si>
  <si>
    <t>NOK</t>
  </si>
  <si>
    <t>RUB</t>
  </si>
  <si>
    <t>SEK</t>
  </si>
  <si>
    <t>CHF</t>
  </si>
  <si>
    <t>TWD</t>
  </si>
  <si>
    <t>99762400-c6ee-4f87-91ba-0508f1638e21</t>
  </si>
  <si>
    <t>Standard Data Analyzed</t>
  </si>
  <si>
    <t>DZH318Z0BQD2</t>
  </si>
  <si>
    <t>Log Analytics</t>
  </si>
  <si>
    <t>Standard</t>
  </si>
  <si>
    <t>DZH3140GXVMF</t>
  </si>
  <si>
    <t>Analytics Logs Data Retention</t>
  </si>
  <si>
    <t>Analytics Logs</t>
  </si>
  <si>
    <t>36293e8f-ac3c-45cf-bd4e-dc2542bdba03</t>
  </si>
  <si>
    <t>Premium Data Analyzed</t>
  </si>
  <si>
    <t>Premium</t>
  </si>
  <si>
    <t>2073b0aa-c836-4642-9d97-0635f52e3520</t>
  </si>
  <si>
    <t>Free Data Analyzed</t>
  </si>
  <si>
    <t>Free</t>
  </si>
  <si>
    <t>8c945adb-3f9a-40d1-a661-efc36fa4a3e0</t>
  </si>
  <si>
    <t>Analytics Logs Data Analyzed</t>
  </si>
  <si>
    <t>Analytics Logs Data Ingestion</t>
  </si>
  <si>
    <t>(Ctrl-Alt-F5 
to refresh prices)</t>
  </si>
  <si>
    <t>Discount over all Azure (if applies)</t>
  </si>
  <si>
    <t>Log source b</t>
  </si>
  <si>
    <t>Log source c</t>
  </si>
  <si>
    <t>Summary costs per month</t>
  </si>
  <si>
    <t>GB/day free with M365 E5 benefit (used through "Entra" and "Defender XDR" log source)</t>
  </si>
  <si>
    <t>GB/day free with MDSp2 benefit (used through "Windows Servers" log source)</t>
  </si>
  <si>
    <t>ANALYTICS Log sources</t>
  </si>
  <si>
    <t>DATA LAKE Log sources</t>
  </si>
  <si>
    <t>GB/day of billable analytics ingest per day   ====&gt;</t>
  </si>
  <si>
    <t>ANALYTICS Costs per month</t>
  </si>
  <si>
    <t>DATA LAKE Costs per month</t>
  </si>
  <si>
    <t>Data processing Data Processed</t>
  </si>
  <si>
    <t>Data processing</t>
  </si>
  <si>
    <t>50 GB Commitment Tier Capacity Reservation</t>
  </si>
  <si>
    <t>50 GB Commitment Tier</t>
  </si>
  <si>
    <t>Firewall traffic log</t>
  </si>
  <si>
    <t>Firewall threat log</t>
  </si>
  <si>
    <t>northeurope</t>
  </si>
  <si>
    <t>0ac68130-3376-533f-912c-6a317f075528</t>
  </si>
  <si>
    <t>DZH318Z0CF6H/0225</t>
  </si>
  <si>
    <t>DZH318Z0BQD2/0041</t>
  </si>
  <si>
    <t>20d3206e-ca7a-5302-aadb-7068b08f672f</t>
  </si>
  <si>
    <t>DZH318Z0CF6H/02VL</t>
  </si>
  <si>
    <t>2465802f-6e80-5655-9580-3a54df7cbbc2</t>
  </si>
  <si>
    <t>DZH318Z0CF6H/02VX</t>
  </si>
  <si>
    <t>28cd0cf9-1806-5f9d-a882-19f41d4caaf6</t>
  </si>
  <si>
    <t>DZH318Z0CF6H/01TW</t>
  </si>
  <si>
    <t>4fdd0727-98e0-460e-a773-adebaf6e06cd</t>
  </si>
  <si>
    <t>DZH318Z0BQD2/003K</t>
  </si>
  <si>
    <t>DZH318Z0BQD2/002K</t>
  </si>
  <si>
    <t>DZH318Z0BQD2/000N</t>
  </si>
  <si>
    <t>7a3b0ae6-ede0-5262-9695-0214805d2d2a</t>
  </si>
  <si>
    <t>DZH318Z0CF6H/02VN</t>
  </si>
  <si>
    <t>DZH318Z0CF6H/009C</t>
  </si>
  <si>
    <t>8fee4e4a-6be1-5308-8acb-2ccd388d4a27</t>
  </si>
  <si>
    <t>DZH318Z0CF6H/04LC</t>
  </si>
  <si>
    <t>9472f592-8462-54a3-baf1-0364003624f6</t>
  </si>
  <si>
    <t>DZH318Z0CF6H/02VR</t>
  </si>
  <si>
    <t>9f85bbee-5205-5453-abb9-8c982d805ba0</t>
  </si>
  <si>
    <t>DZH318Z0CF6H/05K0</t>
  </si>
  <si>
    <t>a013ec0e-78a4-5de8-9d50-054d0eeb700a</t>
  </si>
  <si>
    <t>DZH318Z0CF6H/02VK</t>
  </si>
  <si>
    <t>a20e4d8e-e8a9-4a39-88ff-eed10cf07097</t>
  </si>
  <si>
    <t>a5319ae8-d628-56ae-afb2-ea3a347160cb</t>
  </si>
  <si>
    <t>DZH318Z0CF6H/03LR</t>
  </si>
  <si>
    <t>a84b92d8-dd42-5998-a244-58c1896c7258</t>
  </si>
  <si>
    <t>DZH318Z0CF6H/04KZ</t>
  </si>
  <si>
    <t>aae95c40-c62d-5a55-9551-5a86906d5cb5</t>
  </si>
  <si>
    <t>DZH318Z0CF6H/03LM</t>
  </si>
  <si>
    <t>aea4f8be-a06d-55dd-9561-41adc7fc1bb6</t>
  </si>
  <si>
    <t>DZH318Z0CF6H/02VZ</t>
  </si>
  <si>
    <t>bb36b93e-6044-5588-a234-6f3f08af0ace</t>
  </si>
  <si>
    <t>DZH318Z0CF6H/043X</t>
  </si>
  <si>
    <t>bf047e33-4708-5a42-bfe5-ab4c1a392436</t>
  </si>
  <si>
    <t>DZH318Z0CF6H/05D8</t>
  </si>
  <si>
    <t>c194be82-5866-559c-bcbd-f6553630dbe8</t>
  </si>
  <si>
    <t>DZH318Z0CF6H/02VS</t>
  </si>
  <si>
    <t>c2656f98-21d5-551b-93e8-ac3a852e8316</t>
  </si>
  <si>
    <t>DZH318Z0CF6H/04L3</t>
  </si>
  <si>
    <t>d75516d7-be7a-5103-a92e-bbafd429b37e</t>
  </si>
  <si>
    <t>DZH318Z0CF6H/02VD</t>
  </si>
  <si>
    <t>d9b6ea0f-76cf-59f0-b8d3-c09bbedeca72</t>
  </si>
  <si>
    <t>DZH318Z0CF6H/03LP</t>
  </si>
  <si>
    <t>db2a941a-bc75-55ee-9944-da6ce83a95e6</t>
  </si>
  <si>
    <t>DZH318Z0CF6H/02VT</t>
  </si>
  <si>
    <t>dc53d8e0-f30c-5fd6-a5cf-01c8c6a507e3</t>
  </si>
  <si>
    <t>DZH318Z0CF6H/02VV</t>
  </si>
  <si>
    <t>fa6ff1e7-41a3-54b8-8f0d-ab6ec654dd80</t>
  </si>
  <si>
    <t>DZH318Z0CF6H/04LF</t>
  </si>
  <si>
    <t>Summary ingestion per day (GB)</t>
  </si>
  <si>
    <t>Summary ingestion per month (GB)</t>
  </si>
  <si>
    <t>1)</t>
  </si>
  <si>
    <t>2)</t>
  </si>
  <si>
    <r>
      <t xml:space="preserve">In Calculator -sheet, </t>
    </r>
    <r>
      <rPr>
        <b/>
        <sz val="11"/>
        <color theme="1"/>
        <rFont val="Aptos Narrow"/>
        <family val="2"/>
        <scheme val="minor"/>
      </rPr>
      <t xml:space="preserve">set your Sentinel region &amp; currency </t>
    </r>
  </si>
  <si>
    <t>3)</t>
  </si>
  <si>
    <t>Set the amount of your M365 E5 licenses (E5/A5/F5) in order to include the benefits in calculation</t>
  </si>
  <si>
    <t>Set the amount of your Defender for Servers P2 in order to include the benfits in calculation</t>
  </si>
  <si>
    <t>4)</t>
  </si>
  <si>
    <r>
      <rPr>
        <b/>
        <sz val="11"/>
        <color theme="1"/>
        <rFont val="Aptos Narrow"/>
        <family val="2"/>
        <scheme val="minor"/>
      </rPr>
      <t xml:space="preserve">Refresh the pricing data </t>
    </r>
    <r>
      <rPr>
        <sz val="11"/>
        <color theme="1"/>
        <rFont val="Aptos Narrow"/>
        <family val="2"/>
        <scheme val="minor"/>
      </rPr>
      <t xml:space="preserve">from source by using </t>
    </r>
    <r>
      <rPr>
        <b/>
        <sz val="11"/>
        <color theme="1"/>
        <rFont val="Aptos Narrow"/>
        <family val="2"/>
        <scheme val="minor"/>
      </rPr>
      <t xml:space="preserve">CTRL-ALT-F5 </t>
    </r>
    <r>
      <rPr>
        <sz val="11"/>
        <color theme="1"/>
        <rFont val="Aptos Narrow"/>
        <family val="2"/>
        <scheme val="minor"/>
      </rPr>
      <t>(uses https://prices.azure.com/api/retail/prices). In case prompted to trust source, accept.</t>
    </r>
  </si>
  <si>
    <t>5)</t>
  </si>
  <si>
    <t>6)</t>
  </si>
  <si>
    <t>How much am I entitled to ingest free using M365 E5 benefit?</t>
  </si>
  <si>
    <t>How much am I entitled to ingest free using Defender for Servers P2 benefit?</t>
  </si>
  <si>
    <t>What prices are being used in calculation?</t>
  </si>
  <si>
    <t>How much am I ingesting to analytics per day and what ingestion tier is used in calculation?</t>
  </si>
  <si>
    <t>Is the data lake compression used in calculation?</t>
  </si>
  <si>
    <t>How the data lake ingestion price is calculated?</t>
  </si>
  <si>
    <t>FAQ</t>
  </si>
  <si>
    <r>
      <t xml:space="preserve">Fill in </t>
    </r>
    <r>
      <rPr>
        <b/>
        <sz val="11"/>
        <color theme="5"/>
        <rFont val="Aptos Narrow"/>
        <family val="2"/>
        <scheme val="minor"/>
      </rPr>
      <t xml:space="preserve">orange </t>
    </r>
    <r>
      <rPr>
        <sz val="11"/>
        <color theme="1"/>
        <rFont val="Aptos Narrow"/>
        <family val="2"/>
        <scheme val="minor"/>
      </rPr>
      <t xml:space="preserve">cells with your daily ingestion under </t>
    </r>
    <r>
      <rPr>
        <b/>
        <sz val="11"/>
        <color theme="1"/>
        <rFont val="Aptos Narrow"/>
        <family val="2"/>
        <scheme val="minor"/>
      </rPr>
      <t xml:space="preserve">analytics log sources </t>
    </r>
    <r>
      <rPr>
        <sz val="11"/>
        <color theme="1"/>
        <rFont val="Aptos Narrow"/>
        <family val="2"/>
        <scheme val="minor"/>
      </rPr>
      <t xml:space="preserve">and </t>
    </r>
    <r>
      <rPr>
        <b/>
        <sz val="11"/>
        <color theme="1"/>
        <rFont val="Aptos Narrow"/>
        <family val="2"/>
        <scheme val="minor"/>
      </rPr>
      <t xml:space="preserve">data lake log source </t>
    </r>
    <r>
      <rPr>
        <sz val="11"/>
        <color theme="1"/>
        <rFont val="Aptos Narrow"/>
        <family val="2"/>
        <scheme val="minor"/>
      </rPr>
      <t>as well as retention</t>
    </r>
  </si>
  <si>
    <t>Sentinel cost calculator (unofficial) quick user guide</t>
  </si>
  <si>
    <t>Fill in estimated summary rules for data lake sources. x % indicates how much the summary rule produces outcome, which is written to analytics table.</t>
  </si>
  <si>
    <t>&gt;&gt;&gt; See xx GB/day free with M365 E5 benefit (used through "Entra" and "Defender XDR" log source)</t>
  </si>
  <si>
    <t>&gt;&gt;&gt; See xx GB/day free with MDSp2 benefit (used through "Windows Servers" log source)</t>
  </si>
  <si>
    <t>&gt;&gt;&gt; See xx GB/day of billable analytics ingest per day   ====&gt; 100 GB Commitment Tier Capacity Reservation</t>
  </si>
  <si>
    <t>&gt;&gt;&gt; Prices are updated on-demand from official Azure pricing API, by choosing CTRL-ALT-F5. Prices are shown in top of the Calculator -sheet.</t>
  </si>
  <si>
    <t>What long-term retention means?</t>
  </si>
  <si>
    <t>&gt;&gt;&gt; Yes. 6:1, 83% compression. Meaning 600GB in, 100GB in storage. Also taken into account for long-term retention for analytics sources.</t>
  </si>
  <si>
    <t>&gt;&gt;&gt; Once the analytics log source retention ends, it can be moved to long-term retention. Once onboarded to data lake, it's also used for long-term retention. 6:1 compression is applied. 600GB in analytics will be 100GB in long-term retention (data lake).</t>
  </si>
  <si>
    <t>&gt;&gt;&gt; Data lake ingestion ($0.05) + Data lake processing ($0.10), roughly $0.15 alltogether across all data lake sources.</t>
  </si>
  <si>
    <t>Sentinel cost calculator (unofficial) v1.0</t>
  </si>
  <si>
    <t>sentinel/costCalculator at main · markolauren/sentinel</t>
  </si>
  <si>
    <t>Latest version in Github: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</si>
</sst>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#,##0.00\ &quot;€&quot;"/>
    <numFmt numFmtId="166" formatCode="#,##0\ &quot;€&quot;;[Red]#,##0\ &quot;€&quot;"/>
    <numFmt numFmtId="167" formatCode="#,##0;[Red]#,##0"/>
    <numFmt numFmtId="168" formatCode="0.000"/>
  </numFmts>
  <fonts count="21" x14ac:knownFonts="1">
    <font>
      <sz val="11"/>
      <color theme="1"/>
      <name val="Aptos Narrow"/>
      <family val="2"/>
      <scheme val="minor"/>
    </font>
    <font>
      <sz val="9"/>
      <color rgb="FF1E1E1E"/>
      <name val="Segoe UI"/>
      <family val="2"/>
    </font>
    <font>
      <sz val="9"/>
      <color rgb="FF000000"/>
      <name val="Segoe UI"/>
      <family val="2"/>
    </font>
    <font>
      <sz val="8"/>
      <name val="Aptos Narrow"/>
      <family val="2"/>
      <scheme val="minor"/>
    </font>
    <font>
      <b/>
      <sz val="9"/>
      <color rgb="FF1E1E1E"/>
      <name val="Segoe UI"/>
      <family val="2"/>
    </font>
    <font>
      <sz val="11"/>
      <color theme="1"/>
      <name val="Segoe UI"/>
      <family val="2"/>
    </font>
    <font>
      <b/>
      <u/>
      <sz val="11"/>
      <color theme="1"/>
      <name val="Segoe UI"/>
      <family val="2"/>
    </font>
    <font>
      <b/>
      <sz val="9"/>
      <color rgb="FF000000"/>
      <name val="Segoe UI"/>
      <family val="2"/>
    </font>
    <font>
      <b/>
      <u/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2"/>
      <color rgb="FF000000"/>
      <name val="Segoe UI"/>
      <family val="2"/>
    </font>
    <font>
      <sz val="9"/>
      <color theme="1"/>
      <name val="Segoe UI"/>
      <family val="2"/>
    </font>
    <font>
      <sz val="9"/>
      <color theme="0"/>
      <name val="Segoe UI"/>
      <family val="2"/>
    </font>
    <font>
      <sz val="11"/>
      <color theme="0"/>
      <name val="Segoe UI"/>
      <family val="2"/>
    </font>
    <font>
      <i/>
      <sz val="9"/>
      <color rgb="FF000000"/>
      <name val="Segoe UI"/>
      <family val="2"/>
    </font>
    <font>
      <u/>
      <sz val="9"/>
      <color theme="10"/>
      <name val="Segoe UI"/>
      <family val="2"/>
    </font>
    <font>
      <sz val="12"/>
      <color theme="1"/>
      <name val="Segoe UI"/>
      <family val="2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4506668294322"/>
      </bottom>
      <diagonal/>
    </border>
    <border>
      <left style="medium">
        <color indexed="64"/>
      </left>
      <right style="medium">
        <color indexed="64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medium">
        <color indexed="64"/>
      </right>
      <top style="thin">
        <color theme="4" tint="0.39994506668294322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8" fillId="0" borderId="2" xfId="0" applyFont="1" applyBorder="1"/>
    <xf numFmtId="164" fontId="5" fillId="0" borderId="0" xfId="0" applyNumberFormat="1" applyFont="1"/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0" fontId="10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/>
    <xf numFmtId="166" fontId="2" fillId="2" borderId="3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7" fontId="2" fillId="2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6" fontId="12" fillId="2" borderId="0" xfId="0" applyNumberFormat="1" applyFont="1" applyFill="1" applyAlignment="1">
      <alignment horizontal="right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horizontal="center"/>
    </xf>
    <xf numFmtId="0" fontId="14" fillId="2" borderId="0" xfId="0" applyFont="1" applyFill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168" fontId="2" fillId="4" borderId="13" xfId="0" applyNumberFormat="1" applyFont="1" applyFill="1" applyBorder="1" applyAlignment="1">
      <alignment horizontal="center" vertical="center"/>
    </xf>
    <xf numFmtId="9" fontId="2" fillId="4" borderId="13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left" vertical="center"/>
    </xf>
    <xf numFmtId="168" fontId="7" fillId="2" borderId="0" xfId="0" applyNumberFormat="1" applyFont="1" applyFill="1" applyAlignment="1">
      <alignment horizontal="center" vertical="center"/>
    </xf>
    <xf numFmtId="0" fontId="15" fillId="0" borderId="0" xfId="0" applyFont="1"/>
    <xf numFmtId="3" fontId="2" fillId="2" borderId="3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  <xf numFmtId="3" fontId="5" fillId="0" borderId="0" xfId="0" applyNumberFormat="1" applyFont="1"/>
    <xf numFmtId="3" fontId="7" fillId="2" borderId="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Alignment="1">
      <alignment horizontal="center" vertical="center"/>
    </xf>
    <xf numFmtId="0" fontId="15" fillId="0" borderId="0" xfId="0" applyFont="1" applyAlignment="1">
      <alignment wrapText="1"/>
    </xf>
    <xf numFmtId="9" fontId="2" fillId="3" borderId="13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9" fontId="4" fillId="3" borderId="1" xfId="0" applyNumberFormat="1" applyFont="1" applyFill="1" applyBorder="1" applyAlignment="1" applyProtection="1">
      <alignment horizontal="center" vertical="center"/>
      <protection locked="0"/>
    </xf>
    <xf numFmtId="165" fontId="7" fillId="3" borderId="13" xfId="0" applyNumberFormat="1" applyFont="1" applyFill="1" applyBorder="1" applyAlignment="1" applyProtection="1">
      <alignment horizontal="center" vertical="center"/>
      <protection locked="0"/>
    </xf>
    <xf numFmtId="3" fontId="4" fillId="3" borderId="13" xfId="0" applyNumberFormat="1" applyFont="1" applyFill="1" applyBorder="1" applyAlignment="1" applyProtection="1">
      <alignment horizontal="center" vertical="center"/>
      <protection locked="0"/>
    </xf>
    <xf numFmtId="3" fontId="7" fillId="3" borderId="13" xfId="0" applyNumberFormat="1" applyFont="1" applyFill="1" applyBorder="1" applyAlignment="1" applyProtection="1">
      <alignment horizontal="center" vertical="center"/>
      <protection locked="0"/>
    </xf>
    <xf numFmtId="167" fontId="7" fillId="3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0" xfId="1" applyFont="1"/>
    <xf numFmtId="3" fontId="18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7" fillId="2" borderId="0" xfId="0" applyNumberFormat="1" applyFont="1" applyFill="1" applyAlignment="1">
      <alignment horizontal="right" vertical="center"/>
    </xf>
    <xf numFmtId="49" fontId="0" fillId="4" borderId="0" xfId="0" applyNumberFormat="1" applyFill="1" applyAlignment="1">
      <alignment horizontal="right" vertical="top"/>
    </xf>
    <xf numFmtId="0" fontId="11" fillId="4" borderId="0" xfId="0" applyFont="1" applyFill="1" applyAlignment="1">
      <alignment vertical="top" wrapText="1"/>
    </xf>
    <xf numFmtId="49" fontId="0" fillId="4" borderId="0" xfId="0" applyNumberFormat="1" applyFill="1"/>
    <xf numFmtId="49" fontId="0" fillId="4" borderId="0" xfId="0" applyNumberFormat="1" applyFill="1" applyAlignment="1">
      <alignment vertical="top" wrapText="1"/>
    </xf>
    <xf numFmtId="49" fontId="0" fillId="4" borderId="0" xfId="0" quotePrefix="1" applyNumberFormat="1" applyFill="1"/>
    <xf numFmtId="49" fontId="0" fillId="4" borderId="0" xfId="0" quotePrefix="1" applyNumberFormat="1" applyFill="1" applyAlignment="1">
      <alignment vertical="top" wrapText="1"/>
    </xf>
    <xf numFmtId="49" fontId="19" fillId="4" borderId="0" xfId="0" applyNumberFormat="1" applyFont="1" applyFill="1" applyAlignment="1">
      <alignment vertical="top" wrapText="1"/>
    </xf>
    <xf numFmtId="0" fontId="17" fillId="2" borderId="1" xfId="1" applyFont="1" applyFill="1" applyBorder="1" applyAlignment="1">
      <alignment horizontal="left" vertical="center"/>
    </xf>
    <xf numFmtId="49" fontId="19" fillId="4" borderId="0" xfId="0" quotePrefix="1" applyNumberFormat="1" applyFont="1" applyFill="1" applyAlignment="1">
      <alignment vertical="top" wrapText="1"/>
    </xf>
    <xf numFmtId="0" fontId="6" fillId="8" borderId="0" xfId="0" applyFont="1" applyFill="1" applyAlignment="1">
      <alignment vertical="center"/>
    </xf>
    <xf numFmtId="0" fontId="9" fillId="0" borderId="0" xfId="1"/>
    <xf numFmtId="0" fontId="1" fillId="2" borderId="0" xfId="0" applyFont="1" applyFill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0">
    <dxf>
      <font>
        <color theme="0" tint="-0.14996795556505021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F95-4949-8B9A-CEF8F9E7BCC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F95-4949-8B9A-CEF8F9E7BCC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F95-4949-8B9A-CEF8F9E7BCC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F95-4949-8B9A-CEF8F9E7BCC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F95-4949-8B9A-CEF8F9E7BCC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F95-4949-8B9A-CEF8F9E7BCC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95-4949-8B9A-CEF8F9E7BCC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Calculator!$B$62:$B$68</c:f>
              <c:strCache>
                <c:ptCount val="7"/>
                <c:pt idx="0">
                  <c:v>Analytics ingestion</c:v>
                </c:pt>
                <c:pt idx="1">
                  <c:v>Analytics extra retention</c:v>
                </c:pt>
                <c:pt idx="2">
                  <c:v>Long-term retention for analytics sources</c:v>
                </c:pt>
                <c:pt idx="3">
                  <c:v>Data lake ingestion</c:v>
                </c:pt>
                <c:pt idx="4">
                  <c:v>Data lake retention</c:v>
                </c:pt>
                <c:pt idx="5">
                  <c:v>Summary rules scan</c:v>
                </c:pt>
                <c:pt idx="6">
                  <c:v>Summary rules ingestion (analytics)</c:v>
                </c:pt>
              </c:strCache>
            </c:strRef>
          </c:cat>
          <c:val>
            <c:numRef>
              <c:f>Calculator!$C$62:$C$68</c:f>
              <c:numCache>
                <c:formatCode>#,##0</c:formatCode>
                <c:ptCount val="7"/>
                <c:pt idx="0">
                  <c:v>12759.495000000001</c:v>
                </c:pt>
                <c:pt idx="1">
                  <c:v>1597.482</c:v>
                </c:pt>
                <c:pt idx="2">
                  <c:v>224.87549999999996</c:v>
                </c:pt>
                <c:pt idx="3">
                  <c:v>1846.7999999999997</c:v>
                </c:pt>
                <c:pt idx="4">
                  <c:v>590.99999999999989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5-4949-8B9A-CEF8F9E7B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b="1"/>
              <a:t>Ingest</a:t>
            </a:r>
            <a:r>
              <a:rPr lang="fi-FI" b="1" baseline="0"/>
              <a:t> breakdown by GB</a:t>
            </a:r>
            <a:endParaRPr lang="fi-FI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56-463E-9EAD-63DB203362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56-463E-9EAD-63DB203362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56-463E-9EAD-63DB203362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56-463E-9EAD-63DB203362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156-463E-9EAD-63DB203362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156-463E-9EAD-63DB203362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156-463E-9EAD-63DB203362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156-463E-9EAD-63DB203362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156-463E-9EAD-63DB203362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156-463E-9EAD-63DB203362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156-463E-9EAD-63DB203362A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156-463E-9EAD-63DB203362A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156-463E-9EAD-63DB203362A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156-463E-9EAD-63DB203362A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156-463E-9EAD-63DB203362A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156-463E-9EAD-63DB203362A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156-463E-9EAD-63DB203362A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156-463E-9EAD-63DB203362A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156-463E-9EAD-63DB203362A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156-463E-9EAD-63DB203362A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156-463E-9EAD-63DB203362A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156-463E-9EAD-63DB203362A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156-463E-9EAD-63DB203362A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156-463E-9EAD-63DB203362A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156-463E-9EAD-63DB203362A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156-463E-9EAD-63DB203362A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156-463E-9EAD-63DB203362A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156-463E-9EAD-63DB203362A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(Calculator!$B$20:$B$33,Calculator!$B$40:$B$53)</c:f>
              <c:strCache>
                <c:ptCount val="18"/>
                <c:pt idx="0">
                  <c:v>Azure Activity (control plane) - FREE</c:v>
                </c:pt>
                <c:pt idx="1">
                  <c:v>Microsoft 365 - FREE</c:v>
                </c:pt>
                <c:pt idx="2">
                  <c:v>Entra - E5 BENEFIT</c:v>
                </c:pt>
                <c:pt idx="3">
                  <c:v>Defender XDR - E5 BENEFIT</c:v>
                </c:pt>
                <c:pt idx="4">
                  <c:v>Windows Servers - MDSp2 BENEFIT</c:v>
                </c:pt>
                <c:pt idx="5">
                  <c:v>Linux Servers</c:v>
                </c:pt>
                <c:pt idx="6">
                  <c:v>DNS</c:v>
                </c:pt>
                <c:pt idx="7">
                  <c:v>Firewall threat log</c:v>
                </c:pt>
                <c:pt idx="8">
                  <c:v>Log source b</c:v>
                </c:pt>
                <c:pt idx="9">
                  <c:v>Log source c</c:v>
                </c:pt>
                <c:pt idx="14">
                  <c:v>Firewall traffic log</c:v>
                </c:pt>
                <c:pt idx="15">
                  <c:v>Log source x</c:v>
                </c:pt>
                <c:pt idx="16">
                  <c:v>Log source y</c:v>
                </c:pt>
                <c:pt idx="17">
                  <c:v>Log source z</c:v>
                </c:pt>
              </c:strCache>
            </c:strRef>
          </c:cat>
          <c:val>
            <c:numRef>
              <c:f>(Calculator!$C$20:$C$33,Calculator!$C$40:$C$53)</c:f>
              <c:numCache>
                <c:formatCode>General</c:formatCode>
                <c:ptCount val="28"/>
                <c:pt idx="0">
                  <c:v>5</c:v>
                </c:pt>
                <c:pt idx="1">
                  <c:v>3</c:v>
                </c:pt>
                <c:pt idx="2">
                  <c:v>10</c:v>
                </c:pt>
                <c:pt idx="3">
                  <c:v>45</c:v>
                </c:pt>
                <c:pt idx="4">
                  <c:v>135</c:v>
                </c:pt>
                <c:pt idx="5">
                  <c:v>30</c:v>
                </c:pt>
                <c:pt idx="6">
                  <c:v>80</c:v>
                </c:pt>
                <c:pt idx="7">
                  <c:v>20</c:v>
                </c:pt>
                <c:pt idx="14">
                  <c:v>300</c:v>
                </c:pt>
                <c:pt idx="1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C-4450-AA68-397EA9FCB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0</xdr:row>
      <xdr:rowOff>133350</xdr:rowOff>
    </xdr:from>
    <xdr:to>
      <xdr:col>17</xdr:col>
      <xdr:colOff>552449</xdr:colOff>
      <xdr:row>20</xdr:row>
      <xdr:rowOff>148279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52F2DFB-6920-FBF5-87A9-14E1D0681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133350"/>
          <a:ext cx="9296399" cy="466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37</xdr:row>
      <xdr:rowOff>114300</xdr:rowOff>
    </xdr:from>
    <xdr:to>
      <xdr:col>1</xdr:col>
      <xdr:colOff>3476625</xdr:colOff>
      <xdr:row>42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F98E4D-8C97-22DF-22AC-14F6CCA03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6534150"/>
          <a:ext cx="344805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3419475</xdr:colOff>
      <xdr:row>2</xdr:row>
      <xdr:rowOff>0</xdr:rowOff>
    </xdr:from>
    <xdr:to>
      <xdr:col>4</xdr:col>
      <xdr:colOff>514350</xdr:colOff>
      <xdr:row>3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991DDD2-7DFC-B2DD-92A0-F15B545EA486}"/>
            </a:ext>
          </a:extLst>
        </xdr:cNvPr>
        <xdr:cNvCxnSpPr/>
      </xdr:nvCxnSpPr>
      <xdr:spPr>
        <a:xfrm flipV="1">
          <a:off x="4029075" y="514350"/>
          <a:ext cx="4410075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5676900</xdr:colOff>
      <xdr:row>2</xdr:row>
      <xdr:rowOff>133350</xdr:rowOff>
    </xdr:from>
    <xdr:to>
      <xdr:col>4</xdr:col>
      <xdr:colOff>581025</xdr:colOff>
      <xdr:row>5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1A3F37F-A8D5-7A96-4ED9-536F0856447F}"/>
            </a:ext>
          </a:extLst>
        </xdr:cNvPr>
        <xdr:cNvCxnSpPr/>
      </xdr:nvCxnSpPr>
      <xdr:spPr>
        <a:xfrm flipV="1">
          <a:off x="6286500" y="647700"/>
          <a:ext cx="2219325" cy="723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5334000</xdr:colOff>
      <xdr:row>3</xdr:row>
      <xdr:rowOff>38100</xdr:rowOff>
    </xdr:from>
    <xdr:to>
      <xdr:col>5</xdr:col>
      <xdr:colOff>9525</xdr:colOff>
      <xdr:row>6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99EF09E-7CBD-56BB-7E93-767F62B6207D}"/>
            </a:ext>
          </a:extLst>
        </xdr:cNvPr>
        <xdr:cNvCxnSpPr/>
      </xdr:nvCxnSpPr>
      <xdr:spPr>
        <a:xfrm flipV="1">
          <a:off x="5943600" y="742950"/>
          <a:ext cx="2600325" cy="847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3286125</xdr:colOff>
      <xdr:row>7</xdr:row>
      <xdr:rowOff>285750</xdr:rowOff>
    </xdr:from>
    <xdr:to>
      <xdr:col>1</xdr:col>
      <xdr:colOff>6038850</xdr:colOff>
      <xdr:row>9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29C5BF2-6951-C912-CF62-3CF7A82CB02A}"/>
            </a:ext>
          </a:extLst>
        </xdr:cNvPr>
        <xdr:cNvCxnSpPr/>
      </xdr:nvCxnSpPr>
      <xdr:spPr>
        <a:xfrm>
          <a:off x="3895725" y="1943100"/>
          <a:ext cx="27527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</xdr:row>
      <xdr:rowOff>95251</xdr:rowOff>
    </xdr:from>
    <xdr:to>
      <xdr:col>2</xdr:col>
      <xdr:colOff>361950</xdr:colOff>
      <xdr:row>20</xdr:row>
      <xdr:rowOff>171451</xdr:rowOff>
    </xdr:to>
    <xdr:sp macro="" textlink="">
      <xdr:nvSpPr>
        <xdr:cNvPr id="23" name="Left Brace 22">
          <a:extLst>
            <a:ext uri="{FF2B5EF4-FFF2-40B4-BE49-F238E27FC236}">
              <a16:creationId xmlns:a16="http://schemas.microsoft.com/office/drawing/2014/main" id="{88486DBE-3444-0F3F-6F57-C784DB34779A}"/>
            </a:ext>
          </a:extLst>
        </xdr:cNvPr>
        <xdr:cNvSpPr/>
      </xdr:nvSpPr>
      <xdr:spPr>
        <a:xfrm>
          <a:off x="6800850" y="1752601"/>
          <a:ext cx="266700" cy="3067050"/>
        </a:xfrm>
        <a:prstGeom prst="leftBrace">
          <a:avLst>
            <a:gd name="adj1" fmla="val 8333"/>
            <a:gd name="adj2" fmla="val 17412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FI" sz="1100"/>
        </a:p>
      </xdr:txBody>
    </xdr:sp>
    <xdr:clientData/>
  </xdr:twoCellAnchor>
  <xdr:twoCellAnchor>
    <xdr:from>
      <xdr:col>1</xdr:col>
      <xdr:colOff>3324225</xdr:colOff>
      <xdr:row>8</xdr:row>
      <xdr:rowOff>295275</xdr:rowOff>
    </xdr:from>
    <xdr:to>
      <xdr:col>14</xdr:col>
      <xdr:colOff>561975</xdr:colOff>
      <xdr:row>19</xdr:row>
      <xdr:rowOff>133350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BF82718-1F45-A0DD-E3DF-6852577FDEFF}"/>
            </a:ext>
          </a:extLst>
        </xdr:cNvPr>
        <xdr:cNvCxnSpPr/>
      </xdr:nvCxnSpPr>
      <xdr:spPr>
        <a:xfrm>
          <a:off x="3933825" y="2333625"/>
          <a:ext cx="10648950" cy="2257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73</xdr:row>
      <xdr:rowOff>114298</xdr:rowOff>
    </xdr:from>
    <xdr:to>
      <xdr:col>11</xdr:col>
      <xdr:colOff>371475</xdr:colOff>
      <xdr:row>105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30D3D-67FD-B90F-157F-C858C2961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57149</xdr:colOff>
      <xdr:row>106</xdr:row>
      <xdr:rowOff>100011</xdr:rowOff>
    </xdr:from>
    <xdr:to>
      <xdr:col>11</xdr:col>
      <xdr:colOff>361949</xdr:colOff>
      <xdr:row>138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D7C88-D5DD-26B6-F984-A82FB5246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BillingCurrency" tableColumnId="1"/>
      <queryTableField id="2" name="CustomerEntityId" tableColumnId="2"/>
      <queryTableField id="3" name="CustomerEntityType" tableColumnId="3"/>
      <queryTableField id="4" name="Items.currencyCode" tableColumnId="4"/>
      <queryTableField id="5" name="Items.tierMinimumUnits" tableColumnId="5"/>
      <queryTableField id="6" name="Items.reservationTerm" tableColumnId="6"/>
      <queryTableField id="7" name="Items.retailPrice" tableColumnId="7"/>
      <queryTableField id="8" name="Items.unitPrice" tableColumnId="8"/>
      <queryTableField id="9" name="Items.armRegionName" tableColumnId="9"/>
      <queryTableField id="10" name="Items.location" tableColumnId="10"/>
      <queryTableField id="11" name="Items.effectiveStartDate" tableColumnId="11"/>
      <queryTableField id="12" name="Items.effectiveEndDate" tableColumnId="12"/>
      <queryTableField id="13" name="Items.meterId" tableColumnId="13"/>
      <queryTableField id="14" name="Items.meterName" tableColumnId="14"/>
      <queryTableField id="15" name="Items.productId" tableColumnId="15"/>
      <queryTableField id="16" name="Items.skuId" tableColumnId="16"/>
      <queryTableField id="17" name="Items.productName" tableColumnId="17"/>
      <queryTableField id="18" name="Items.skuName" tableColumnId="18"/>
      <queryTableField id="19" name="Items.serviceName" tableColumnId="19"/>
      <queryTableField id="20" name="Items.serviceId" tableColumnId="20"/>
      <queryTableField id="21" name="Items.serviceFamily" tableColumnId="21"/>
      <queryTableField id="22" name="Items.unitOfMeasure" tableColumnId="22"/>
      <queryTableField id="23" name="Items.type" tableColumnId="23"/>
      <queryTableField id="24" name="Items.isPrimaryMeterRegion" tableColumnId="24"/>
      <queryTableField id="25" name="Items.armSkuName" tableColumnId="25"/>
      <queryTableField id="26" name="NextPageLink" tableColumnId="26"/>
      <queryTableField id="27" name="Count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7A1B4-AE2E-49BA-ABB6-6C1060F3546E}" name="Sentinel_prices" displayName="Sentinel_prices" ref="A1:AA31" tableType="queryTable" totalsRowShown="0">
  <autoFilter ref="A1:AA31" xr:uid="{F837A1B4-AE2E-49BA-ABB6-6C1060F3546E}"/>
  <tableColumns count="27">
    <tableColumn id="1" xr3:uid="{8F7C668C-EBD0-49DB-8BD3-C83CED4131EF}" uniqueName="1" name="BillingCurrency" queryTableFieldId="1" dataDxfId="19"/>
    <tableColumn id="2" xr3:uid="{A2873CD0-1E72-49CA-82C7-AFE8F368BF71}" uniqueName="2" name="CustomerEntityId" queryTableFieldId="2" dataDxfId="18"/>
    <tableColumn id="3" xr3:uid="{B3D07607-8555-4B6C-B89F-CBC3D1FB7064}" uniqueName="3" name="CustomerEntityType" queryTableFieldId="3" dataDxfId="17"/>
    <tableColumn id="4" xr3:uid="{132F514E-E656-4FA2-B8CC-A93D128EE212}" uniqueName="4" name="Items.currencyCode" queryTableFieldId="4" dataDxfId="16"/>
    <tableColumn id="5" xr3:uid="{B8E04CF0-8C0E-4794-8B6C-BEBB205B9767}" uniqueName="5" name="Items.tierMinimumUnits" queryTableFieldId="5"/>
    <tableColumn id="6" xr3:uid="{CAC6C0AC-6105-4312-8E62-61C98703289C}" uniqueName="6" name="Items.reservationTerm" queryTableFieldId="6"/>
    <tableColumn id="7" xr3:uid="{B2C8C064-14E3-497C-A678-3E8DB2A4DE69}" uniqueName="7" name="Items.retailPrice" queryTableFieldId="7"/>
    <tableColumn id="8" xr3:uid="{2FE51BB1-9B53-4443-A30E-E52B79CB502B}" uniqueName="8" name="Items.unitPrice" queryTableFieldId="8"/>
    <tableColumn id="9" xr3:uid="{1570D8E7-79B0-44B6-A71D-C339F5C14438}" uniqueName="9" name="Items.armRegionName" queryTableFieldId="9" dataDxfId="15"/>
    <tableColumn id="10" xr3:uid="{4AFE4A51-B010-4BED-B8DD-31FC0D577052}" uniqueName="10" name="Items.location" queryTableFieldId="10" dataDxfId="14"/>
    <tableColumn id="11" xr3:uid="{3D685839-B44D-4121-A8D6-37EA5D223327}" uniqueName="11" name="Items.effectiveStartDate" queryTableFieldId="11" dataDxfId="13"/>
    <tableColumn id="12" xr3:uid="{14698E5B-69FC-4FBD-8E8F-EB9D4E9BA353}" uniqueName="12" name="Items.effectiveEndDate" queryTableFieldId="12"/>
    <tableColumn id="13" xr3:uid="{78FC84E7-4B17-4754-9AFF-4A514278CE98}" uniqueName="13" name="Items.meterId" queryTableFieldId="13" dataDxfId="12"/>
    <tableColumn id="14" xr3:uid="{1D7BFAA0-CC6A-4C62-A267-06CA5D5E414C}" uniqueName="14" name="Items.meterName" queryTableFieldId="14" dataDxfId="11"/>
    <tableColumn id="15" xr3:uid="{37A27D88-07C1-43E9-83F4-3C0BFFF44300}" uniqueName="15" name="Items.productId" queryTableFieldId="15" dataDxfId="10"/>
    <tableColumn id="16" xr3:uid="{819588DE-9E76-4E4B-A2F3-BB14CD1494D4}" uniqueName="16" name="Items.skuId" queryTableFieldId="16" dataDxfId="9"/>
    <tableColumn id="17" xr3:uid="{583A6692-6348-4F52-94E6-6C62DC693040}" uniqueName="17" name="Items.productName" queryTableFieldId="17" dataDxfId="8"/>
    <tableColumn id="18" xr3:uid="{8634B463-268C-41D7-BA1B-9E8F26FAD5F7}" uniqueName="18" name="Items.skuName" queryTableFieldId="18" dataDxfId="7"/>
    <tableColumn id="19" xr3:uid="{C267033C-78B7-432F-8C52-5798387C86EE}" uniqueName="19" name="Items.serviceName" queryTableFieldId="19" dataDxfId="6"/>
    <tableColumn id="20" xr3:uid="{1CEEE175-EF5A-4BC5-94DF-10527AB7BD7E}" uniqueName="20" name="Items.serviceId" queryTableFieldId="20" dataDxfId="5"/>
    <tableColumn id="21" xr3:uid="{2116BB53-A005-4134-9093-A73F1734BDFE}" uniqueName="21" name="Items.serviceFamily" queryTableFieldId="21" dataDxfId="4"/>
    <tableColumn id="22" xr3:uid="{AF4AC96A-16D0-40FA-8DC5-121518CB9773}" uniqueName="22" name="Items.unitOfMeasure" queryTableFieldId="22" dataDxfId="3"/>
    <tableColumn id="23" xr3:uid="{86C8A038-CA5A-4A0B-AE7C-C33DF4D82760}" uniqueName="23" name="Items.type" queryTableFieldId="23" dataDxfId="2"/>
    <tableColumn id="24" xr3:uid="{BB80D99E-339B-45D3-83C8-4CCBCB3A6341}" uniqueName="24" name="Items.isPrimaryMeterRegion" queryTableFieldId="24"/>
    <tableColumn id="25" xr3:uid="{2013AE74-BC49-43D1-9E64-BBFAEE83C1CD}" uniqueName="25" name="Items.armSkuName" queryTableFieldId="25" dataDxfId="1"/>
    <tableColumn id="26" xr3:uid="{EB085569-9248-4438-9472-B67574BEEEEA}" uniqueName="26" name="NextPageLink" queryTableFieldId="26"/>
    <tableColumn id="27" xr3:uid="{BF676DAE-7AC2-4EFB-9A54-6F3E70F2CEBB}" uniqueName="27" name="Count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markolauren/sentinel/tree/main/costCalculato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zure.microsoft.com/en-us/pricing/offers/sentinel-microsoft-365-offer" TargetMode="External"/><Relationship Id="rId2" Type="http://schemas.openxmlformats.org/officeDocument/2006/relationships/hyperlink" Target="https://learn.microsoft.com/en-us/azure/defender-for-cloud/data-ingestion-benefit" TargetMode="External"/><Relationship Id="rId1" Type="http://schemas.openxmlformats.org/officeDocument/2006/relationships/hyperlink" Target="https://azure.microsoft.com/en-us/pricing/details/microsoft-sentinel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A831-40B7-4DD1-AA95-2EC607AE14B4}">
  <dimension ref="A2:B37"/>
  <sheetViews>
    <sheetView tabSelected="1" zoomScaleNormal="100" workbookViewId="0"/>
  </sheetViews>
  <sheetFormatPr defaultRowHeight="15" x14ac:dyDescent="0.25"/>
  <cols>
    <col min="1" max="1" width="9.140625" style="78"/>
    <col min="2" max="2" width="91.42578125" style="81" customWidth="1"/>
    <col min="3" max="16384" width="9.140625" style="80"/>
  </cols>
  <sheetData>
    <row r="2" spans="1:2" ht="25.5" x14ac:dyDescent="0.25">
      <c r="B2" s="79" t="s">
        <v>305</v>
      </c>
    </row>
    <row r="4" spans="1:2" x14ac:dyDescent="0.25">
      <c r="A4" s="78" t="s">
        <v>287</v>
      </c>
      <c r="B4" s="81" t="s">
        <v>289</v>
      </c>
    </row>
    <row r="5" spans="1:2" ht="30" x14ac:dyDescent="0.25">
      <c r="A5" s="78" t="s">
        <v>288</v>
      </c>
      <c r="B5" s="81" t="s">
        <v>294</v>
      </c>
    </row>
    <row r="6" spans="1:2" x14ac:dyDescent="0.25">
      <c r="A6" s="78" t="s">
        <v>290</v>
      </c>
      <c r="B6" s="81" t="s">
        <v>291</v>
      </c>
    </row>
    <row r="7" spans="1:2" x14ac:dyDescent="0.25">
      <c r="A7" s="78" t="s">
        <v>293</v>
      </c>
      <c r="B7" s="81" t="s">
        <v>292</v>
      </c>
    </row>
    <row r="8" spans="1:2" ht="30" x14ac:dyDescent="0.25">
      <c r="A8" s="78" t="s">
        <v>295</v>
      </c>
      <c r="B8" s="81" t="s">
        <v>304</v>
      </c>
    </row>
    <row r="9" spans="1:2" ht="30" x14ac:dyDescent="0.25">
      <c r="A9" s="78" t="s">
        <v>296</v>
      </c>
      <c r="B9" s="81" t="s">
        <v>306</v>
      </c>
    </row>
    <row r="11" spans="1:2" x14ac:dyDescent="0.25">
      <c r="B11" s="81" t="s">
        <v>317</v>
      </c>
    </row>
    <row r="12" spans="1:2" x14ac:dyDescent="0.25">
      <c r="B12" s="88" t="s">
        <v>316</v>
      </c>
    </row>
    <row r="16" spans="1:2" ht="25.5" x14ac:dyDescent="0.25">
      <c r="B16" s="79" t="s">
        <v>303</v>
      </c>
    </row>
    <row r="18" spans="2:2" x14ac:dyDescent="0.25">
      <c r="B18" s="84" t="s">
        <v>297</v>
      </c>
    </row>
    <row r="19" spans="2:2" x14ac:dyDescent="0.25">
      <c r="B19" s="82" t="s">
        <v>307</v>
      </c>
    </row>
    <row r="21" spans="2:2" x14ac:dyDescent="0.25">
      <c r="B21" s="84" t="s">
        <v>298</v>
      </c>
    </row>
    <row r="22" spans="2:2" x14ac:dyDescent="0.25">
      <c r="B22" s="83" t="s">
        <v>308</v>
      </c>
    </row>
    <row r="24" spans="2:2" x14ac:dyDescent="0.25">
      <c r="B24" s="84" t="s">
        <v>300</v>
      </c>
    </row>
    <row r="25" spans="2:2" x14ac:dyDescent="0.25">
      <c r="B25" s="82" t="s">
        <v>309</v>
      </c>
    </row>
    <row r="27" spans="2:2" x14ac:dyDescent="0.25">
      <c r="B27" s="84" t="s">
        <v>301</v>
      </c>
    </row>
    <row r="28" spans="2:2" ht="30" x14ac:dyDescent="0.25">
      <c r="B28" s="83" t="s">
        <v>312</v>
      </c>
    </row>
    <row r="29" spans="2:2" x14ac:dyDescent="0.25">
      <c r="B29" s="83"/>
    </row>
    <row r="30" spans="2:2" x14ac:dyDescent="0.25">
      <c r="B30" s="84" t="s">
        <v>302</v>
      </c>
    </row>
    <row r="31" spans="2:2" ht="30" x14ac:dyDescent="0.25">
      <c r="B31" s="83" t="s">
        <v>314</v>
      </c>
    </row>
    <row r="32" spans="2:2" x14ac:dyDescent="0.25">
      <c r="B32" s="83"/>
    </row>
    <row r="33" spans="2:2" x14ac:dyDescent="0.25">
      <c r="B33" s="86" t="s">
        <v>311</v>
      </c>
    </row>
    <row r="34" spans="2:2" ht="45" x14ac:dyDescent="0.25">
      <c r="B34" s="83" t="s">
        <v>313</v>
      </c>
    </row>
    <row r="35" spans="2:2" x14ac:dyDescent="0.25">
      <c r="B35" s="83"/>
    </row>
    <row r="36" spans="2:2" x14ac:dyDescent="0.25">
      <c r="B36" s="84" t="s">
        <v>299</v>
      </c>
    </row>
    <row r="37" spans="2:2" ht="30" x14ac:dyDescent="0.25">
      <c r="B37" s="83" t="s">
        <v>310</v>
      </c>
    </row>
  </sheetData>
  <sheetProtection algorithmName="SHA-512" hashValue="UQXAtyeMCAbtCql6hQ1aMFBNa8Uc5lv3Gp2RK+Ndm7BFRozIteEMFdUvXHmzLUDTiplHyW48xVUrOLuWYilFvQ==" saltValue="Q9QCPosxs2yR6yDSkUrzOg==" spinCount="100000" sheet="1" objects="1" scenarios="1"/>
  <hyperlinks>
    <hyperlink ref="B12" r:id="rId1" display="https://github.com/markolauren/sentinel/tree/main/costCalculator" xr:uid="{1197BEE6-54B4-4E47-98E9-75F837A5204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58F-C37D-42ED-BBFF-229A95079068}">
  <sheetPr codeName="Sheet1"/>
  <dimension ref="B1:AE72"/>
  <sheetViews>
    <sheetView showGridLines="0" zoomScaleNormal="100" workbookViewId="0"/>
  </sheetViews>
  <sheetFormatPr defaultColWidth="9.28515625" defaultRowHeight="14.65" customHeight="1" x14ac:dyDescent="0.3"/>
  <cols>
    <col min="1" max="1" width="2.140625" style="4" customWidth="1"/>
    <col min="2" max="2" width="37" style="4" customWidth="1"/>
    <col min="3" max="4" width="14.5703125" style="4" customWidth="1"/>
    <col min="5" max="5" width="14.5703125" style="4" hidden="1" customWidth="1"/>
    <col min="6" max="6" width="11.28515625" style="4" hidden="1" customWidth="1"/>
    <col min="7" max="7" width="11.28515625" style="4" customWidth="1"/>
    <col min="8" max="9" width="14.5703125" style="4" customWidth="1"/>
    <col min="10" max="10" width="11.28515625" style="4" customWidth="1"/>
    <col min="11" max="11" width="14.5703125" style="4" customWidth="1"/>
    <col min="12" max="12" width="11" style="4" customWidth="1"/>
    <col min="13" max="14" width="14.5703125" style="4" customWidth="1"/>
    <col min="15" max="15" width="11" style="4" customWidth="1"/>
    <col min="16" max="16" width="14.5703125" style="4" customWidth="1"/>
    <col min="17" max="17" width="18.42578125" style="4" customWidth="1"/>
    <col min="18" max="26" width="16.7109375" style="4" customWidth="1"/>
    <col min="27" max="27" width="24.28515625" style="14" bestFit="1" customWidth="1"/>
    <col min="28" max="28" width="9.28515625" style="4"/>
    <col min="29" max="31" width="9.28515625" style="54"/>
    <col min="32" max="16384" width="9.28515625" style="4"/>
  </cols>
  <sheetData>
    <row r="1" spans="2:31" ht="25.5" x14ac:dyDescent="0.5">
      <c r="B1" s="17" t="s">
        <v>315</v>
      </c>
      <c r="H1" s="71" t="s">
        <v>6</v>
      </c>
      <c r="N1" s="41"/>
      <c r="O1" s="48" t="str">
        <f>C3</f>
        <v>EU North</v>
      </c>
      <c r="P1" s="53" t="str">
        <f>C4</f>
        <v>EUR</v>
      </c>
      <c r="Q1" s="54" t="str">
        <f>_xlfn.CONCAT(  "https://prices.azure.com/api/retail/prices?currencyCode='",  C4,  "'&amp;$filter=location eq '",  C3,  "' and (serviceName eq 'Sentinel' or serviceName eq 'Log Analytics')")</f>
        <v>https://prices.azure.com/api/retail/prices?currencyCode='EUR'&amp;$filter=location eq 'EU North' and (serviceName eq 'Sentinel' or serviceName eq 'Log Analytics')</v>
      </c>
    </row>
    <row r="2" spans="2:31" ht="14.65" customHeight="1" x14ac:dyDescent="0.3">
      <c r="H2" s="71"/>
      <c r="N2" s="42"/>
      <c r="O2" s="42" t="s">
        <v>181</v>
      </c>
      <c r="P2" s="42" t="s">
        <v>182</v>
      </c>
      <c r="AC2" s="54" t="s">
        <v>87</v>
      </c>
      <c r="AE2" s="62" t="s">
        <v>71</v>
      </c>
    </row>
    <row r="3" spans="2:31" ht="14.65" customHeight="1" x14ac:dyDescent="0.3">
      <c r="B3" s="2" t="s">
        <v>178</v>
      </c>
      <c r="C3" s="67" t="s">
        <v>143</v>
      </c>
      <c r="D3" s="93" t="s">
        <v>215</v>
      </c>
      <c r="N3" s="21"/>
      <c r="O3" s="43" cm="1">
        <f t="array" ref="O3">_xlfn.XLOOKUP(1, ('Sentinel prices'!J:J=Calculator!$C$3)*('Sentinel prices'!N:N=Calculator!$Q3),'Sentinel prices'!G:G)</f>
        <v>4.4132999999999996</v>
      </c>
      <c r="P3" s="49">
        <f>O3</f>
        <v>4.4132999999999996</v>
      </c>
      <c r="Q3" s="9" t="s">
        <v>75</v>
      </c>
      <c r="AC3" s="54" t="s">
        <v>175</v>
      </c>
      <c r="AE3" s="54" t="s">
        <v>179</v>
      </c>
    </row>
    <row r="4" spans="2:31" ht="14.65" customHeight="1" x14ac:dyDescent="0.3">
      <c r="B4" s="2" t="s">
        <v>180</v>
      </c>
      <c r="C4" s="67" t="s">
        <v>179</v>
      </c>
      <c r="D4" s="93"/>
      <c r="N4" s="47">
        <v>100</v>
      </c>
      <c r="O4" s="44" cm="1">
        <f t="array" ref="O4">_xlfn.XLOOKUP(1, ('Sentinel prices'!$J:$J=Calculator!$C$3)*('Sentinel prices'!$N:$N=Calculator!$Q4),'Sentinel prices'!$G:$G)</f>
        <v>303.79750000000001</v>
      </c>
      <c r="P4" s="49">
        <f t="shared" ref="P4:P9" si="0">O4/N4</f>
        <v>3.0379750000000003</v>
      </c>
      <c r="Q4" s="9" t="s">
        <v>110</v>
      </c>
      <c r="AC4" s="54" t="s">
        <v>162</v>
      </c>
      <c r="AE4" s="54" t="s">
        <v>185</v>
      </c>
    </row>
    <row r="5" spans="2:31" ht="14.65" customHeight="1" x14ac:dyDescent="0.3">
      <c r="B5" s="85" t="s">
        <v>32</v>
      </c>
      <c r="C5" s="68">
        <v>9000</v>
      </c>
      <c r="E5" s="13"/>
      <c r="G5" s="77">
        <f>C5*0.005</f>
        <v>45</v>
      </c>
      <c r="H5" s="9" t="s">
        <v>220</v>
      </c>
      <c r="N5" s="47">
        <v>200</v>
      </c>
      <c r="O5" s="44" cm="1">
        <f t="array" ref="O5">_xlfn.XLOOKUP(1, ('Sentinel prices'!J:J=Calculator!$C$3)*('Sentinel prices'!N:N=Calculator!$Q5),'Sentinel prices'!G:G)</f>
        <v>562.43589999999995</v>
      </c>
      <c r="P5" s="49">
        <f t="shared" si="0"/>
        <v>2.8121794999999996</v>
      </c>
      <c r="Q5" s="9" t="s">
        <v>88</v>
      </c>
      <c r="AC5" s="54" t="s">
        <v>103</v>
      </c>
      <c r="AE5" s="54" t="s">
        <v>183</v>
      </c>
    </row>
    <row r="6" spans="2:31" ht="14.65" customHeight="1" x14ac:dyDescent="0.3">
      <c r="B6" s="85" t="s">
        <v>33</v>
      </c>
      <c r="C6" s="69">
        <v>400</v>
      </c>
      <c r="D6" s="13"/>
      <c r="E6" s="13"/>
      <c r="G6" s="77">
        <f>C6*0.5</f>
        <v>200</v>
      </c>
      <c r="H6" s="9" t="s">
        <v>221</v>
      </c>
      <c r="N6" s="47">
        <v>300</v>
      </c>
      <c r="O6" s="44" cm="1">
        <f t="array" ref="O6">_xlfn.XLOOKUP(1, ('Sentinel prices'!J:J=Calculator!$C$3)*('Sentinel prices'!N:N=Calculator!$Q6),'Sentinel prices'!G:G)</f>
        <v>821.07420000000002</v>
      </c>
      <c r="P6" s="49">
        <f t="shared" si="0"/>
        <v>2.7369140000000001</v>
      </c>
      <c r="Q6" s="9" t="s">
        <v>107</v>
      </c>
      <c r="T6" s="9"/>
      <c r="AC6" s="54" t="s">
        <v>157</v>
      </c>
      <c r="AE6" s="54" t="s">
        <v>184</v>
      </c>
    </row>
    <row r="7" spans="2:31" ht="14.65" customHeight="1" x14ac:dyDescent="0.3">
      <c r="B7" s="2" t="s">
        <v>216</v>
      </c>
      <c r="C7" s="63">
        <v>0</v>
      </c>
      <c r="G7" s="59"/>
      <c r="N7" s="47">
        <v>400</v>
      </c>
      <c r="O7" s="44" cm="1">
        <f t="array" ref="O7">_xlfn.XLOOKUP(1, ('Sentinel prices'!J:J=Calculator!$C$3)*('Sentinel prices'!N:N=Calculator!$Q7),'Sentinel prices'!G:G)</f>
        <v>1064.6596</v>
      </c>
      <c r="P7" s="49">
        <f t="shared" si="0"/>
        <v>2.6616489999999997</v>
      </c>
      <c r="Q7" s="9" t="s">
        <v>139</v>
      </c>
      <c r="AC7" s="54" t="s">
        <v>137</v>
      </c>
      <c r="AE7" s="54" t="s">
        <v>186</v>
      </c>
    </row>
    <row r="8" spans="2:31" ht="14.65" customHeight="1" x14ac:dyDescent="0.3">
      <c r="G8" s="59"/>
      <c r="N8" s="47">
        <v>500</v>
      </c>
      <c r="O8" s="44" cm="1">
        <f t="array" ref="O8">_xlfn.XLOOKUP(1, ('Sentinel prices'!J:J=Calculator!$C$3)*('Sentinel prices'!N:N=Calculator!$Q8),'Sentinel prices'!G:G)</f>
        <v>1298.3235999999999</v>
      </c>
      <c r="P8" s="49">
        <f t="shared" si="0"/>
        <v>2.5966472</v>
      </c>
      <c r="Q8" s="9" t="s">
        <v>97</v>
      </c>
      <c r="AC8" s="54" t="s">
        <v>109</v>
      </c>
      <c r="AE8" s="54" t="s">
        <v>196</v>
      </c>
    </row>
    <row r="9" spans="2:31" ht="14.65" customHeight="1" x14ac:dyDescent="0.3">
      <c r="B9" s="2" t="s">
        <v>19</v>
      </c>
      <c r="C9" s="50">
        <f>_xlfn.XLOOKUP($G$9,$N$3:$N$11,$P$3:$P$11,$P$3,-1)</f>
        <v>3.0379750000000003</v>
      </c>
      <c r="G9" s="77">
        <f>SUM(C25:C33)+SUM(E22:E24)+SUM(S40:S53)</f>
        <v>140</v>
      </c>
      <c r="H9" s="9" t="s">
        <v>224</v>
      </c>
      <c r="K9" s="52" t="str">
        <f>_xlfn.XLOOKUP(C9,P3:P11,Q3:Q11)</f>
        <v>100 GB Commitment Tier Capacity Reservation</v>
      </c>
      <c r="N9" s="47">
        <v>1000</v>
      </c>
      <c r="O9" s="44" cm="1">
        <f t="array" ref="O9">_xlfn.XLOOKUP(1, ('Sentinel prices'!J:J=Calculator!$C$3)*('Sentinel prices'!N:N=Calculator!$Q9),'Sentinel prices'!G:G)</f>
        <v>2545.3301000000001</v>
      </c>
      <c r="P9" s="49">
        <f t="shared" si="0"/>
        <v>2.5453301000000002</v>
      </c>
      <c r="Q9" s="9" t="s">
        <v>84</v>
      </c>
      <c r="AC9" s="54" t="s">
        <v>96</v>
      </c>
      <c r="AE9" s="54" t="s">
        <v>187</v>
      </c>
    </row>
    <row r="10" spans="2:31" ht="14.65" customHeight="1" x14ac:dyDescent="0.3">
      <c r="B10" s="2" t="s">
        <v>0</v>
      </c>
      <c r="C10" s="50" cm="1">
        <f t="array" ref="C10">_xlfn.XLOOKUP(1, ('Sentinel prices'!$J:$J=Calculator!$C$3)*('Sentinel prices'!$N:$N="Analytics Logs Data Retention"),'Sentinel prices'!$G:$G)</f>
        <v>0.1026</v>
      </c>
      <c r="E10" s="39" t="s">
        <v>40</v>
      </c>
      <c r="F10" s="39" t="s">
        <v>41</v>
      </c>
      <c r="G10" s="39"/>
      <c r="N10" s="47">
        <v>2000</v>
      </c>
      <c r="O10" s="44" cm="1">
        <f t="array" ref="O10">_xlfn.XLOOKUP(1, ('Sentinel prices'!J:J=Calculator!$C$3)*('Sentinel prices'!N:N=Calculator!$Q10),'Sentinel prices'!G:G)</f>
        <v>4926.4453999999996</v>
      </c>
      <c r="P10" s="49">
        <f t="shared" ref="P10:P11" si="1">O10/N10</f>
        <v>2.4632226999999998</v>
      </c>
      <c r="Q10" s="9" t="s">
        <v>117</v>
      </c>
      <c r="AC10" s="54" t="s">
        <v>132</v>
      </c>
      <c r="AE10" s="54" t="s">
        <v>188</v>
      </c>
    </row>
    <row r="11" spans="2:31" ht="14.65" customHeight="1" x14ac:dyDescent="0.3">
      <c r="B11" s="1" t="s">
        <v>7</v>
      </c>
      <c r="C11" s="50" cm="1">
        <f t="array" ref="C11">_xlfn.XLOOKUP(1, ('Sentinel prices'!$J:$J=Calculator!$C$3)*('Sentinel prices'!$N:$N="Data lake ingestion Data Processed"),'Sentinel prices'!$G:$G)+_xlfn.XLOOKUP(1, ('Sentinel prices'!$J:$J=Calculator!$C$3)*('Sentinel prices'!$N:$N="Data processing Data Processed"),'Sentinel prices'!$G:$G)</f>
        <v>0.15389999999999998</v>
      </c>
      <c r="E11" s="39">
        <f>C5*0.005</f>
        <v>45</v>
      </c>
      <c r="F11" s="39">
        <f>E11*30</f>
        <v>1350</v>
      </c>
      <c r="N11" s="47">
        <v>5000</v>
      </c>
      <c r="O11" s="44" cm="1">
        <f t="array" ref="O11">_xlfn.XLOOKUP(1, ('Sentinel prices'!J:J=Calculator!$C$3)*('Sentinel prices'!N:N=Calculator!$Q11),'Sentinel prices'!G:G)</f>
        <v>11854.2593</v>
      </c>
      <c r="P11" s="49">
        <f t="shared" si="1"/>
        <v>2.3708518600000001</v>
      </c>
      <c r="Q11" s="9" t="s">
        <v>134</v>
      </c>
      <c r="AC11" s="54" t="s">
        <v>155</v>
      </c>
      <c r="AE11" s="54" t="s">
        <v>189</v>
      </c>
    </row>
    <row r="12" spans="2:31" ht="14.65" customHeight="1" x14ac:dyDescent="0.3">
      <c r="B12" s="2" t="s">
        <v>10</v>
      </c>
      <c r="C12" s="50" cm="1">
        <f t="array" ref="C12">_xlfn.XLOOKUP(1, ('Sentinel prices'!$J:$J=Calculator!$C$3)*('Sentinel prices'!$N:$N="Data lake storage Data Stored"),'Sentinel prices'!$G:$G)</f>
        <v>1.9699999999999999E-2</v>
      </c>
      <c r="E12" s="39">
        <f>C6*0.5</f>
        <v>200</v>
      </c>
      <c r="F12" s="39">
        <f>E12*30</f>
        <v>6000</v>
      </c>
      <c r="AC12" s="54" t="s">
        <v>147</v>
      </c>
      <c r="AE12" s="54" t="s">
        <v>190</v>
      </c>
    </row>
    <row r="13" spans="2:31" ht="14.65" customHeight="1" x14ac:dyDescent="0.3">
      <c r="B13" s="1" t="s">
        <v>8</v>
      </c>
      <c r="C13" s="50" cm="1">
        <f t="array" ref="C13">_xlfn.XLOOKUP(1, ('Sentinel prices'!$J:$J=Calculator!$C$3)*('Sentinel prices'!$N:$N="Data lake query Data Analyzed"),'Sentinel prices'!$G:$G)</f>
        <v>5.1000000000000004E-3</v>
      </c>
      <c r="AC13" s="54" t="s">
        <v>177</v>
      </c>
      <c r="AE13" s="54" t="s">
        <v>191</v>
      </c>
    </row>
    <row r="14" spans="2:31" ht="14.65" customHeight="1" x14ac:dyDescent="0.3">
      <c r="B14" s="2" t="s">
        <v>15</v>
      </c>
      <c r="C14" s="51">
        <f>1-(1/6)</f>
        <v>0.83333333333333337</v>
      </c>
      <c r="AC14" s="54" t="s">
        <v>128</v>
      </c>
      <c r="AE14" s="54" t="s">
        <v>193</v>
      </c>
    </row>
    <row r="15" spans="2:31" ht="14.65" customHeight="1" x14ac:dyDescent="0.3">
      <c r="AC15" s="54" t="s">
        <v>154</v>
      </c>
      <c r="AE15" s="54" t="s">
        <v>192</v>
      </c>
    </row>
    <row r="16" spans="2:31" ht="14.65" customHeight="1" x14ac:dyDescent="0.3">
      <c r="T16" s="9"/>
      <c r="AA16" s="4"/>
      <c r="AC16" s="54" t="s">
        <v>176</v>
      </c>
      <c r="AE16" s="54" t="s">
        <v>194</v>
      </c>
    </row>
    <row r="17" spans="2:31" s="73" customFormat="1" ht="21" customHeight="1" x14ac:dyDescent="0.25">
      <c r="B17" s="94" t="s">
        <v>222</v>
      </c>
      <c r="C17" s="94"/>
      <c r="D17" s="94"/>
      <c r="E17" s="94"/>
      <c r="F17" s="94"/>
      <c r="G17" s="94"/>
      <c r="H17" s="94"/>
      <c r="I17" s="94"/>
      <c r="K17" s="94" t="s">
        <v>225</v>
      </c>
      <c r="L17" s="94"/>
      <c r="M17" s="94"/>
      <c r="N17" s="94"/>
      <c r="O17" s="94"/>
      <c r="P17" s="94"/>
      <c r="AA17" s="74"/>
      <c r="AC17" s="75" t="s">
        <v>126</v>
      </c>
      <c r="AD17" s="75"/>
      <c r="AE17" s="75" t="s">
        <v>195</v>
      </c>
    </row>
    <row r="18" spans="2:31" ht="14.65" customHeight="1" thickBot="1" x14ac:dyDescent="0.35">
      <c r="B18" s="11"/>
      <c r="C18" s="12"/>
      <c r="AC18" s="62" t="s">
        <v>143</v>
      </c>
      <c r="AE18" s="54" t="s">
        <v>197</v>
      </c>
    </row>
    <row r="19" spans="2:31" s="27" customFormat="1" ht="32.25" customHeight="1" x14ac:dyDescent="0.3">
      <c r="B19" s="24"/>
      <c r="C19" s="25" t="s">
        <v>5</v>
      </c>
      <c r="D19" s="26" t="s">
        <v>11</v>
      </c>
      <c r="E19" s="37"/>
      <c r="H19" s="29" t="s">
        <v>23</v>
      </c>
      <c r="I19" s="29" t="s">
        <v>22</v>
      </c>
      <c r="K19" s="30" t="s">
        <v>17</v>
      </c>
      <c r="L19" s="32"/>
      <c r="M19" s="30" t="s">
        <v>24</v>
      </c>
      <c r="N19" s="30" t="s">
        <v>25</v>
      </c>
      <c r="O19" s="32"/>
      <c r="P19" s="33" t="s">
        <v>26</v>
      </c>
      <c r="Q19" s="32"/>
      <c r="AC19" s="54" t="s">
        <v>91</v>
      </c>
      <c r="AD19" s="62"/>
      <c r="AE19" s="62"/>
    </row>
    <row r="20" spans="2:31" ht="14.65" customHeight="1" x14ac:dyDescent="0.3">
      <c r="B20" s="3" t="s">
        <v>34</v>
      </c>
      <c r="C20" s="64">
        <v>5</v>
      </c>
      <c r="D20" s="22">
        <f t="shared" ref="D20:D21" si="2">C20*30</f>
        <v>150</v>
      </c>
      <c r="E20" s="38">
        <f>C20</f>
        <v>5</v>
      </c>
      <c r="H20" s="70">
        <v>6</v>
      </c>
      <c r="I20" s="70">
        <v>12</v>
      </c>
      <c r="K20" s="55">
        <v>0</v>
      </c>
      <c r="L20" s="56"/>
      <c r="M20" s="55">
        <f t="shared" ref="M20:M33" si="3">(H20-3)*D20*$C$10*(1-$C$7)</f>
        <v>46.17</v>
      </c>
      <c r="N20" s="55">
        <f t="shared" ref="N20:N33" si="4">(I20-H20)*D20*$C$12*(1-$C$14)*(1-$C$7)</f>
        <v>2.9549999999999996</v>
      </c>
      <c r="O20" s="56"/>
      <c r="P20" s="57">
        <f t="shared" ref="P20:P21" si="5">N20+M20+K20</f>
        <v>49.125</v>
      </c>
      <c r="Q20" s="20"/>
      <c r="AA20" s="4"/>
      <c r="AC20" s="54" t="s">
        <v>141</v>
      </c>
    </row>
    <row r="21" spans="2:31" ht="14.65" customHeight="1" x14ac:dyDescent="0.3">
      <c r="B21" s="3" t="s">
        <v>35</v>
      </c>
      <c r="C21" s="64">
        <v>3</v>
      </c>
      <c r="D21" s="22">
        <f t="shared" si="2"/>
        <v>90</v>
      </c>
      <c r="E21" s="38">
        <f>C21</f>
        <v>3</v>
      </c>
      <c r="H21" s="70">
        <v>6</v>
      </c>
      <c r="I21" s="70">
        <v>12</v>
      </c>
      <c r="K21" s="55">
        <v>0</v>
      </c>
      <c r="L21" s="56"/>
      <c r="M21" s="55">
        <f t="shared" si="3"/>
        <v>27.701999999999998</v>
      </c>
      <c r="N21" s="55">
        <f t="shared" si="4"/>
        <v>1.7729999999999997</v>
      </c>
      <c r="O21" s="56"/>
      <c r="P21" s="57">
        <f t="shared" si="5"/>
        <v>29.474999999999998</v>
      </c>
      <c r="Q21" s="20"/>
      <c r="AA21" s="4"/>
      <c r="AC21" s="54" t="s">
        <v>95</v>
      </c>
    </row>
    <row r="22" spans="2:31" ht="14.65" customHeight="1" x14ac:dyDescent="0.3">
      <c r="B22" s="1" t="s">
        <v>37</v>
      </c>
      <c r="C22" s="64">
        <v>10</v>
      </c>
      <c r="D22" s="22">
        <f>C22*30</f>
        <v>300</v>
      </c>
      <c r="E22" s="92">
        <f>IF((C22+C23)-E11&gt;0,(C22+C23-E11),0)</f>
        <v>10</v>
      </c>
      <c r="F22" s="89">
        <f>D22+D23</f>
        <v>1650</v>
      </c>
      <c r="G22" s="40"/>
      <c r="H22" s="70">
        <v>12</v>
      </c>
      <c r="I22" s="70">
        <v>24</v>
      </c>
      <c r="K22" s="90">
        <f>IF((F22-$F$11)&gt;0,(F22-$F$11)*$C$9*(1-$C$7),0)</f>
        <v>911.39250000000004</v>
      </c>
      <c r="L22" s="56"/>
      <c r="M22" s="55">
        <f t="shared" si="3"/>
        <v>277.02</v>
      </c>
      <c r="N22" s="55">
        <f t="shared" si="4"/>
        <v>11.819999999999999</v>
      </c>
      <c r="O22" s="56"/>
      <c r="P22" s="57">
        <f>N22+M22+K22</f>
        <v>1200.2325000000001</v>
      </c>
      <c r="Q22" s="20"/>
      <c r="AA22" s="4"/>
      <c r="AC22" s="54" t="s">
        <v>152</v>
      </c>
    </row>
    <row r="23" spans="2:31" ht="14.65" customHeight="1" x14ac:dyDescent="0.3">
      <c r="B23" s="1" t="s">
        <v>38</v>
      </c>
      <c r="C23" s="64">
        <v>45</v>
      </c>
      <c r="D23" s="22">
        <f>C23*30</f>
        <v>1350</v>
      </c>
      <c r="E23" s="92"/>
      <c r="F23" s="89"/>
      <c r="G23" s="40"/>
      <c r="H23" s="70">
        <v>12</v>
      </c>
      <c r="I23" s="70">
        <v>24</v>
      </c>
      <c r="K23" s="91"/>
      <c r="L23" s="56"/>
      <c r="M23" s="55">
        <f t="shared" si="3"/>
        <v>1246.5899999999999</v>
      </c>
      <c r="N23" s="55">
        <f t="shared" si="4"/>
        <v>53.189999999999984</v>
      </c>
      <c r="O23" s="56"/>
      <c r="P23" s="57">
        <f t="shared" ref="P23:P33" si="6">N23+M23+K23</f>
        <v>1299.78</v>
      </c>
      <c r="Q23" s="20"/>
      <c r="AA23" s="4"/>
      <c r="AC23" s="54" t="s">
        <v>129</v>
      </c>
    </row>
    <row r="24" spans="2:31" ht="14.65" customHeight="1" x14ac:dyDescent="0.3">
      <c r="B24" s="1" t="s">
        <v>36</v>
      </c>
      <c r="C24" s="64">
        <v>135</v>
      </c>
      <c r="D24" s="22">
        <f>C24*30</f>
        <v>4050</v>
      </c>
      <c r="E24" s="38">
        <f>IF(C24-E12&gt;0,(C24-E12),0)</f>
        <v>0</v>
      </c>
      <c r="H24" s="70">
        <v>3</v>
      </c>
      <c r="I24" s="70">
        <v>6</v>
      </c>
      <c r="K24" s="55">
        <f>IF((D24-$F$12)&gt;0,(D24-$F$12)*$C$9*(1-$C$7),0)</f>
        <v>0</v>
      </c>
      <c r="L24" s="56"/>
      <c r="M24" s="55">
        <f t="shared" si="3"/>
        <v>0</v>
      </c>
      <c r="N24" s="55">
        <f t="shared" si="4"/>
        <v>39.892499999999991</v>
      </c>
      <c r="O24" s="56"/>
      <c r="P24" s="57">
        <f t="shared" si="6"/>
        <v>39.892499999999991</v>
      </c>
      <c r="Q24" s="20"/>
      <c r="AA24" s="4"/>
      <c r="AC24" s="54" t="s">
        <v>148</v>
      </c>
    </row>
    <row r="25" spans="2:31" ht="14.65" customHeight="1" x14ac:dyDescent="0.3">
      <c r="B25" s="65" t="s">
        <v>18</v>
      </c>
      <c r="C25" s="64">
        <v>30</v>
      </c>
      <c r="D25" s="22">
        <f t="shared" ref="D25" si="7">C25*30</f>
        <v>900</v>
      </c>
      <c r="E25" s="38"/>
      <c r="H25" s="70">
        <v>3</v>
      </c>
      <c r="I25" s="70">
        <v>12</v>
      </c>
      <c r="K25" s="55">
        <f t="shared" ref="K25:K33" si="8">D25*$C$9*(1-$C$7)</f>
        <v>2734.1775000000002</v>
      </c>
      <c r="L25" s="56"/>
      <c r="M25" s="55">
        <f t="shared" si="3"/>
        <v>0</v>
      </c>
      <c r="N25" s="55">
        <f t="shared" si="4"/>
        <v>26.594999999999992</v>
      </c>
      <c r="O25" s="56"/>
      <c r="P25" s="57">
        <f t="shared" si="6"/>
        <v>2760.7725</v>
      </c>
      <c r="Q25" s="20"/>
      <c r="AA25" s="4"/>
      <c r="AC25" s="54" t="s">
        <v>174</v>
      </c>
    </row>
    <row r="26" spans="2:31" ht="14.65" customHeight="1" x14ac:dyDescent="0.3">
      <c r="B26" s="65" t="s">
        <v>12</v>
      </c>
      <c r="C26" s="64">
        <v>80</v>
      </c>
      <c r="D26" s="22">
        <f t="shared" ref="D26:D33" si="9">C26*30</f>
        <v>2400</v>
      </c>
      <c r="E26" s="38"/>
      <c r="H26" s="70">
        <v>3</v>
      </c>
      <c r="I26" s="70">
        <v>12</v>
      </c>
      <c r="K26" s="55">
        <f t="shared" si="8"/>
        <v>7291.14</v>
      </c>
      <c r="L26" s="56"/>
      <c r="M26" s="55">
        <f t="shared" si="3"/>
        <v>0</v>
      </c>
      <c r="N26" s="55">
        <f t="shared" si="4"/>
        <v>70.919999999999987</v>
      </c>
      <c r="O26" s="56"/>
      <c r="P26" s="57">
        <f t="shared" si="6"/>
        <v>7362.06</v>
      </c>
      <c r="Q26" s="20"/>
      <c r="AA26" s="4"/>
      <c r="AC26" s="54" t="s">
        <v>127</v>
      </c>
    </row>
    <row r="27" spans="2:31" ht="14.65" customHeight="1" x14ac:dyDescent="0.3">
      <c r="B27" s="65" t="s">
        <v>232</v>
      </c>
      <c r="C27" s="64">
        <v>20</v>
      </c>
      <c r="D27" s="22">
        <f t="shared" si="9"/>
        <v>600</v>
      </c>
      <c r="E27" s="38"/>
      <c r="H27" s="70">
        <v>3</v>
      </c>
      <c r="I27" s="70">
        <v>12</v>
      </c>
      <c r="K27" s="55">
        <f t="shared" si="8"/>
        <v>1822.7850000000001</v>
      </c>
      <c r="L27" s="56"/>
      <c r="M27" s="55">
        <f t="shared" si="3"/>
        <v>0</v>
      </c>
      <c r="N27" s="55">
        <f t="shared" si="4"/>
        <v>17.729999999999997</v>
      </c>
      <c r="O27" s="56"/>
      <c r="P27" s="57">
        <f t="shared" si="6"/>
        <v>1840.5150000000001</v>
      </c>
      <c r="Q27" s="20"/>
      <c r="AA27" s="4"/>
      <c r="AC27" s="54" t="s">
        <v>112</v>
      </c>
    </row>
    <row r="28" spans="2:31" ht="14.65" customHeight="1" x14ac:dyDescent="0.3">
      <c r="B28" s="65" t="s">
        <v>217</v>
      </c>
      <c r="C28" s="64"/>
      <c r="D28" s="22">
        <f t="shared" si="9"/>
        <v>0</v>
      </c>
      <c r="E28" s="38"/>
      <c r="H28" s="70"/>
      <c r="I28" s="70"/>
      <c r="K28" s="55">
        <f t="shared" si="8"/>
        <v>0</v>
      </c>
      <c r="L28" s="56"/>
      <c r="M28" s="55">
        <f t="shared" si="3"/>
        <v>0</v>
      </c>
      <c r="N28" s="55">
        <f t="shared" si="4"/>
        <v>0</v>
      </c>
      <c r="O28" s="56"/>
      <c r="P28" s="57">
        <f t="shared" si="6"/>
        <v>0</v>
      </c>
      <c r="Q28" s="20"/>
      <c r="AA28" s="4"/>
      <c r="AC28" s="54" t="s">
        <v>136</v>
      </c>
    </row>
    <row r="29" spans="2:31" ht="14.65" customHeight="1" x14ac:dyDescent="0.3">
      <c r="B29" s="65" t="s">
        <v>218</v>
      </c>
      <c r="C29" s="64"/>
      <c r="D29" s="22">
        <f t="shared" si="9"/>
        <v>0</v>
      </c>
      <c r="E29" s="38"/>
      <c r="H29" s="70"/>
      <c r="I29" s="70"/>
      <c r="K29" s="55">
        <f t="shared" si="8"/>
        <v>0</v>
      </c>
      <c r="L29" s="56"/>
      <c r="M29" s="55">
        <f t="shared" si="3"/>
        <v>0</v>
      </c>
      <c r="N29" s="55">
        <f t="shared" si="4"/>
        <v>0</v>
      </c>
      <c r="O29" s="56"/>
      <c r="P29" s="57">
        <f t="shared" si="6"/>
        <v>0</v>
      </c>
      <c r="Q29" s="20"/>
      <c r="AA29" s="4"/>
      <c r="AC29" s="54" t="s">
        <v>106</v>
      </c>
    </row>
    <row r="30" spans="2:31" ht="14.65" customHeight="1" x14ac:dyDescent="0.3">
      <c r="B30" s="65"/>
      <c r="C30" s="64"/>
      <c r="D30" s="22">
        <f t="shared" si="9"/>
        <v>0</v>
      </c>
      <c r="E30" s="38"/>
      <c r="H30" s="70"/>
      <c r="I30" s="70"/>
      <c r="K30" s="55">
        <f t="shared" si="8"/>
        <v>0</v>
      </c>
      <c r="L30" s="56"/>
      <c r="M30" s="55">
        <f t="shared" si="3"/>
        <v>0</v>
      </c>
      <c r="N30" s="55">
        <f t="shared" si="4"/>
        <v>0</v>
      </c>
      <c r="O30" s="56"/>
      <c r="P30" s="57">
        <f t="shared" si="6"/>
        <v>0</v>
      </c>
      <c r="Q30" s="20"/>
      <c r="AA30" s="4"/>
      <c r="AC30" s="54" t="s">
        <v>142</v>
      </c>
    </row>
    <row r="31" spans="2:31" ht="14.65" customHeight="1" x14ac:dyDescent="0.3">
      <c r="B31" s="65"/>
      <c r="C31" s="64"/>
      <c r="D31" s="22">
        <f t="shared" si="9"/>
        <v>0</v>
      </c>
      <c r="E31" s="38"/>
      <c r="H31" s="70"/>
      <c r="I31" s="70"/>
      <c r="K31" s="55">
        <f t="shared" si="8"/>
        <v>0</v>
      </c>
      <c r="L31" s="56"/>
      <c r="M31" s="55">
        <f t="shared" si="3"/>
        <v>0</v>
      </c>
      <c r="N31" s="55">
        <f t="shared" si="4"/>
        <v>0</v>
      </c>
      <c r="O31" s="56"/>
      <c r="P31" s="57">
        <f t="shared" si="6"/>
        <v>0</v>
      </c>
      <c r="Q31" s="20"/>
      <c r="AA31" s="4"/>
      <c r="AC31" s="54" t="s">
        <v>153</v>
      </c>
    </row>
    <row r="32" spans="2:31" ht="14.65" customHeight="1" x14ac:dyDescent="0.3">
      <c r="B32" s="65"/>
      <c r="C32" s="64"/>
      <c r="D32" s="22">
        <f t="shared" si="9"/>
        <v>0</v>
      </c>
      <c r="E32" s="38"/>
      <c r="H32" s="70"/>
      <c r="I32" s="70"/>
      <c r="K32" s="55">
        <f t="shared" si="8"/>
        <v>0</v>
      </c>
      <c r="L32" s="56"/>
      <c r="M32" s="55">
        <f t="shared" si="3"/>
        <v>0</v>
      </c>
      <c r="N32" s="55">
        <f t="shared" si="4"/>
        <v>0</v>
      </c>
      <c r="O32" s="56"/>
      <c r="P32" s="57">
        <f t="shared" si="6"/>
        <v>0</v>
      </c>
      <c r="Q32" s="20"/>
      <c r="AA32" s="4"/>
      <c r="AC32" s="54" t="s">
        <v>83</v>
      </c>
    </row>
    <row r="33" spans="2:31" ht="14.65" customHeight="1" thickBot="1" x14ac:dyDescent="0.35">
      <c r="B33" s="65"/>
      <c r="C33" s="64"/>
      <c r="D33" s="22">
        <f t="shared" si="9"/>
        <v>0</v>
      </c>
      <c r="E33" s="38"/>
      <c r="H33" s="70"/>
      <c r="I33" s="70"/>
      <c r="K33" s="55">
        <f t="shared" si="8"/>
        <v>0</v>
      </c>
      <c r="L33" s="56"/>
      <c r="M33" s="55">
        <f t="shared" si="3"/>
        <v>0</v>
      </c>
      <c r="N33" s="55">
        <f t="shared" si="4"/>
        <v>0</v>
      </c>
      <c r="O33" s="56"/>
      <c r="P33" s="58">
        <f t="shared" si="6"/>
        <v>0</v>
      </c>
      <c r="Q33" s="20"/>
      <c r="AA33" s="4"/>
      <c r="AC33" s="54" t="s">
        <v>164</v>
      </c>
    </row>
    <row r="34" spans="2:31" ht="14.65" customHeight="1" x14ac:dyDescent="0.3">
      <c r="B34" s="11"/>
      <c r="C34" s="19"/>
      <c r="D34" s="11"/>
      <c r="E34" s="11"/>
      <c r="K34" s="56"/>
      <c r="L34" s="56"/>
      <c r="M34" s="56"/>
      <c r="N34" s="56"/>
      <c r="O34" s="56"/>
      <c r="P34" s="56"/>
      <c r="Q34" s="20"/>
      <c r="Z34" s="20"/>
      <c r="AA34" s="4"/>
      <c r="AC34" s="54" t="s">
        <v>171</v>
      </c>
    </row>
    <row r="35" spans="2:31" ht="14.65" customHeight="1" x14ac:dyDescent="0.3">
      <c r="B35" s="11"/>
      <c r="C35" s="21">
        <f>SUM(C20:C33)</f>
        <v>328</v>
      </c>
      <c r="D35" s="21">
        <f>SUM(D20:D33)</f>
        <v>9840</v>
      </c>
      <c r="E35" s="21"/>
      <c r="K35" s="56">
        <f>SUM(K22:K33)</f>
        <v>12759.495000000001</v>
      </c>
      <c r="L35" s="56"/>
      <c r="M35" s="56">
        <f>SUM(M20:M33)</f>
        <v>1597.482</v>
      </c>
      <c r="N35" s="56">
        <f>SUM(N20:N33)</f>
        <v>224.87549999999996</v>
      </c>
      <c r="O35" s="56"/>
      <c r="P35" s="56">
        <f>SUM(P20:P33)</f>
        <v>14581.852500000001</v>
      </c>
      <c r="Q35" s="20"/>
      <c r="Z35" s="20"/>
      <c r="AA35" s="4"/>
      <c r="AC35" s="54" t="s">
        <v>156</v>
      </c>
    </row>
    <row r="36" spans="2:31" ht="14.65" customHeight="1" x14ac:dyDescent="0.3">
      <c r="AC36" s="54" t="s">
        <v>170</v>
      </c>
    </row>
    <row r="37" spans="2:31" s="73" customFormat="1" ht="21" customHeight="1" x14ac:dyDescent="0.25">
      <c r="B37" s="95" t="s">
        <v>223</v>
      </c>
      <c r="C37" s="95"/>
      <c r="D37" s="95"/>
      <c r="E37" s="95"/>
      <c r="F37" s="95"/>
      <c r="G37" s="95"/>
      <c r="H37" s="95"/>
      <c r="I37" s="95"/>
      <c r="K37" s="95" t="s">
        <v>226</v>
      </c>
      <c r="L37" s="95"/>
      <c r="M37" s="95"/>
      <c r="N37" s="95"/>
      <c r="O37" s="95"/>
      <c r="P37" s="95"/>
      <c r="R37" s="96" t="s">
        <v>20</v>
      </c>
      <c r="S37" s="96"/>
      <c r="T37" s="96"/>
      <c r="V37" s="96" t="s">
        <v>219</v>
      </c>
      <c r="W37" s="96"/>
      <c r="X37" s="96"/>
      <c r="AC37" s="75" t="s">
        <v>159</v>
      </c>
      <c r="AD37" s="75"/>
      <c r="AE37" s="75"/>
    </row>
    <row r="38" spans="2:31" ht="14.65" customHeight="1" thickBot="1" x14ac:dyDescent="0.35">
      <c r="B38" s="11"/>
      <c r="C38" s="12"/>
      <c r="AA38" s="4"/>
      <c r="AC38" s="62" t="s">
        <v>138</v>
      </c>
    </row>
    <row r="39" spans="2:31" s="27" customFormat="1" ht="32.25" customHeight="1" x14ac:dyDescent="0.3">
      <c r="B39" s="24"/>
      <c r="C39" s="25" t="s">
        <v>5</v>
      </c>
      <c r="D39" s="26" t="s">
        <v>11</v>
      </c>
      <c r="E39" s="37"/>
      <c r="H39" s="28"/>
      <c r="I39" s="29" t="s">
        <v>22</v>
      </c>
      <c r="K39" s="30" t="s">
        <v>9</v>
      </c>
      <c r="N39" s="30" t="s">
        <v>21</v>
      </c>
      <c r="O39" s="32"/>
      <c r="P39" s="33" t="s">
        <v>26</v>
      </c>
      <c r="Q39" s="32"/>
      <c r="R39" s="30" t="s">
        <v>1</v>
      </c>
      <c r="S39" s="30" t="s">
        <v>285</v>
      </c>
      <c r="T39" s="30" t="s">
        <v>286</v>
      </c>
      <c r="U39" s="4"/>
      <c r="V39" s="30" t="s">
        <v>4</v>
      </c>
      <c r="W39" s="30" t="s">
        <v>2</v>
      </c>
      <c r="X39" s="30" t="s">
        <v>26</v>
      </c>
      <c r="Z39" s="30" t="s">
        <v>27</v>
      </c>
      <c r="AA39" s="31"/>
      <c r="AC39" s="54" t="s">
        <v>130</v>
      </c>
      <c r="AD39" s="62"/>
      <c r="AE39" s="62"/>
    </row>
    <row r="40" spans="2:31" ht="14.65" customHeight="1" x14ac:dyDescent="0.3">
      <c r="B40" s="65" t="s">
        <v>231</v>
      </c>
      <c r="C40" s="64">
        <v>300</v>
      </c>
      <c r="D40" s="22">
        <f>C40*30</f>
        <v>9000</v>
      </c>
      <c r="E40" s="38"/>
      <c r="H40" s="23"/>
      <c r="I40" s="70">
        <v>12</v>
      </c>
      <c r="K40" s="55">
        <f t="shared" ref="K40:K53" si="10">D40*$C$11*(1-$C$7)</f>
        <v>1385.1</v>
      </c>
      <c r="L40" s="59"/>
      <c r="M40" s="59"/>
      <c r="N40" s="55">
        <f t="shared" ref="N40:N53" si="11">D40*(1-$C$14)*$C$12*(1-$C$7)*(I40)</f>
        <v>354.59999999999991</v>
      </c>
      <c r="O40" s="56"/>
      <c r="P40" s="57">
        <f>N40+K40</f>
        <v>1739.6999999999998</v>
      </c>
      <c r="Q40" s="20"/>
      <c r="R40" s="66">
        <v>0</v>
      </c>
      <c r="S40" s="34">
        <f>R40*C40</f>
        <v>0</v>
      </c>
      <c r="T40" s="34">
        <f>R40*D40</f>
        <v>0</v>
      </c>
      <c r="V40" s="55">
        <f t="shared" ref="V40:V53" si="12">IF(R40&gt;0,D40*$C$13*(1-$C$7),0)</f>
        <v>0</v>
      </c>
      <c r="W40" s="55">
        <f t="shared" ref="W40:W53" si="13">T40*$C$9*(1-$C$7)</f>
        <v>0</v>
      </c>
      <c r="X40" s="60">
        <f t="shared" ref="X40:X53" si="14">V40+W40</f>
        <v>0</v>
      </c>
      <c r="Y40" s="59"/>
      <c r="Z40" s="60">
        <f t="shared" ref="Z40:Z53" si="15">X40+P40</f>
        <v>1739.6999999999998</v>
      </c>
      <c r="AC40" s="54" t="s">
        <v>116</v>
      </c>
    </row>
    <row r="41" spans="2:31" ht="14.65" customHeight="1" x14ac:dyDescent="0.3">
      <c r="B41" s="65" t="s">
        <v>13</v>
      </c>
      <c r="C41" s="64">
        <v>100</v>
      </c>
      <c r="D41" s="22">
        <f>C41*30</f>
        <v>3000</v>
      </c>
      <c r="E41" s="38"/>
      <c r="H41" s="23"/>
      <c r="I41" s="70">
        <v>24</v>
      </c>
      <c r="K41" s="55">
        <f t="shared" si="10"/>
        <v>461.69999999999993</v>
      </c>
      <c r="L41" s="59"/>
      <c r="M41" s="59"/>
      <c r="N41" s="55">
        <f t="shared" si="11"/>
        <v>236.39999999999995</v>
      </c>
      <c r="O41" s="56"/>
      <c r="P41" s="57">
        <f t="shared" ref="P41:P53" si="16">N41+K41</f>
        <v>698.09999999999991</v>
      </c>
      <c r="Q41" s="20"/>
      <c r="R41" s="66">
        <v>0</v>
      </c>
      <c r="S41" s="34">
        <f t="shared" ref="S41:S53" si="17">R41*C41</f>
        <v>0</v>
      </c>
      <c r="T41" s="34">
        <f t="shared" ref="T41:T53" si="18">R41*D41</f>
        <v>0</v>
      </c>
      <c r="V41" s="55">
        <f t="shared" si="12"/>
        <v>0</v>
      </c>
      <c r="W41" s="55">
        <f t="shared" si="13"/>
        <v>0</v>
      </c>
      <c r="X41" s="60">
        <f t="shared" si="14"/>
        <v>0</v>
      </c>
      <c r="Y41" s="59"/>
      <c r="Z41" s="60">
        <f t="shared" si="15"/>
        <v>698.09999999999991</v>
      </c>
      <c r="AC41" s="54" t="s">
        <v>166</v>
      </c>
    </row>
    <row r="42" spans="2:31" ht="14.65" customHeight="1" x14ac:dyDescent="0.3">
      <c r="B42" s="65" t="s">
        <v>16</v>
      </c>
      <c r="C42" s="64"/>
      <c r="D42" s="22">
        <f>C42*30</f>
        <v>0</v>
      </c>
      <c r="E42" s="38"/>
      <c r="H42" s="23"/>
      <c r="I42" s="70"/>
      <c r="K42" s="55">
        <f t="shared" si="10"/>
        <v>0</v>
      </c>
      <c r="L42" s="59"/>
      <c r="M42" s="59"/>
      <c r="N42" s="55">
        <f t="shared" si="11"/>
        <v>0</v>
      </c>
      <c r="O42" s="56"/>
      <c r="P42" s="57">
        <f t="shared" si="16"/>
        <v>0</v>
      </c>
      <c r="Q42" s="20"/>
      <c r="R42" s="66"/>
      <c r="S42" s="34">
        <f t="shared" si="17"/>
        <v>0</v>
      </c>
      <c r="T42" s="34">
        <f t="shared" si="18"/>
        <v>0</v>
      </c>
      <c r="V42" s="55">
        <f t="shared" si="12"/>
        <v>0</v>
      </c>
      <c r="W42" s="55">
        <f t="shared" si="13"/>
        <v>0</v>
      </c>
      <c r="X42" s="60">
        <f t="shared" si="14"/>
        <v>0</v>
      </c>
      <c r="Y42" s="59"/>
      <c r="Z42" s="60">
        <f t="shared" si="15"/>
        <v>0</v>
      </c>
      <c r="AC42" s="54" t="s">
        <v>99</v>
      </c>
    </row>
    <row r="43" spans="2:31" ht="14.65" customHeight="1" x14ac:dyDescent="0.3">
      <c r="B43" s="65" t="s">
        <v>39</v>
      </c>
      <c r="C43" s="64"/>
      <c r="D43" s="22">
        <f t="shared" ref="D43:D53" si="19">C43*30</f>
        <v>0</v>
      </c>
      <c r="E43" s="38"/>
      <c r="I43" s="70"/>
      <c r="K43" s="55">
        <f t="shared" si="10"/>
        <v>0</v>
      </c>
      <c r="L43" s="59"/>
      <c r="M43" s="59"/>
      <c r="N43" s="55">
        <f t="shared" si="11"/>
        <v>0</v>
      </c>
      <c r="O43" s="56"/>
      <c r="P43" s="57">
        <f t="shared" si="16"/>
        <v>0</v>
      </c>
      <c r="Q43" s="20"/>
      <c r="R43" s="66"/>
      <c r="S43" s="34">
        <f t="shared" si="17"/>
        <v>0</v>
      </c>
      <c r="T43" s="34">
        <f t="shared" si="18"/>
        <v>0</v>
      </c>
      <c r="V43" s="55">
        <f t="shared" si="12"/>
        <v>0</v>
      </c>
      <c r="W43" s="55">
        <f t="shared" si="13"/>
        <v>0</v>
      </c>
      <c r="X43" s="60">
        <f t="shared" si="14"/>
        <v>0</v>
      </c>
      <c r="Y43" s="59"/>
      <c r="Z43" s="60">
        <f t="shared" si="15"/>
        <v>0</v>
      </c>
      <c r="AC43" s="54" t="s">
        <v>172</v>
      </c>
    </row>
    <row r="44" spans="2:31" ht="14.65" customHeight="1" x14ac:dyDescent="0.3">
      <c r="B44" s="65"/>
      <c r="C44" s="64"/>
      <c r="D44" s="22">
        <f t="shared" si="19"/>
        <v>0</v>
      </c>
      <c r="E44" s="38"/>
      <c r="I44" s="70"/>
      <c r="K44" s="55">
        <f t="shared" si="10"/>
        <v>0</v>
      </c>
      <c r="L44" s="59"/>
      <c r="M44" s="59"/>
      <c r="N44" s="55">
        <f t="shared" si="11"/>
        <v>0</v>
      </c>
      <c r="O44" s="56"/>
      <c r="P44" s="57">
        <f t="shared" si="16"/>
        <v>0</v>
      </c>
      <c r="Q44" s="20"/>
      <c r="R44" s="66"/>
      <c r="S44" s="34">
        <f t="shared" si="17"/>
        <v>0</v>
      </c>
      <c r="T44" s="34">
        <f t="shared" si="18"/>
        <v>0</v>
      </c>
      <c r="V44" s="55">
        <f t="shared" si="12"/>
        <v>0</v>
      </c>
      <c r="W44" s="55">
        <f t="shared" si="13"/>
        <v>0</v>
      </c>
      <c r="X44" s="60">
        <f t="shared" si="14"/>
        <v>0</v>
      </c>
      <c r="Y44" s="59"/>
      <c r="Z44" s="60">
        <f t="shared" si="15"/>
        <v>0</v>
      </c>
      <c r="AC44" s="54" t="s">
        <v>74</v>
      </c>
    </row>
    <row r="45" spans="2:31" ht="14.65" customHeight="1" x14ac:dyDescent="0.3">
      <c r="B45" s="65"/>
      <c r="C45" s="64"/>
      <c r="D45" s="22">
        <f t="shared" si="19"/>
        <v>0</v>
      </c>
      <c r="E45" s="38"/>
      <c r="I45" s="70"/>
      <c r="K45" s="55">
        <f t="shared" si="10"/>
        <v>0</v>
      </c>
      <c r="L45" s="59"/>
      <c r="M45" s="59"/>
      <c r="N45" s="55">
        <f t="shared" si="11"/>
        <v>0</v>
      </c>
      <c r="O45" s="56"/>
      <c r="P45" s="57">
        <f t="shared" si="16"/>
        <v>0</v>
      </c>
      <c r="Q45" s="20"/>
      <c r="R45" s="66"/>
      <c r="S45" s="34">
        <f t="shared" si="17"/>
        <v>0</v>
      </c>
      <c r="T45" s="34">
        <f t="shared" si="18"/>
        <v>0</v>
      </c>
      <c r="V45" s="55">
        <f t="shared" si="12"/>
        <v>0</v>
      </c>
      <c r="W45" s="55">
        <f t="shared" si="13"/>
        <v>0</v>
      </c>
      <c r="X45" s="60">
        <f t="shared" ref="X45:X52" si="20">V45+W45</f>
        <v>0</v>
      </c>
      <c r="Y45" s="59"/>
      <c r="Z45" s="60">
        <f t="shared" si="15"/>
        <v>0</v>
      </c>
      <c r="AC45" s="54" t="s">
        <v>131</v>
      </c>
    </row>
    <row r="46" spans="2:31" ht="14.65" customHeight="1" x14ac:dyDescent="0.3">
      <c r="B46" s="65"/>
      <c r="C46" s="64"/>
      <c r="D46" s="22">
        <f t="shared" si="19"/>
        <v>0</v>
      </c>
      <c r="E46" s="38"/>
      <c r="I46" s="70"/>
      <c r="K46" s="55">
        <f t="shared" si="10"/>
        <v>0</v>
      </c>
      <c r="L46" s="59"/>
      <c r="M46" s="59"/>
      <c r="N46" s="55">
        <f t="shared" si="11"/>
        <v>0</v>
      </c>
      <c r="O46" s="56"/>
      <c r="P46" s="57">
        <f t="shared" si="16"/>
        <v>0</v>
      </c>
      <c r="Q46" s="20"/>
      <c r="R46" s="66"/>
      <c r="S46" s="34">
        <f t="shared" si="17"/>
        <v>0</v>
      </c>
      <c r="T46" s="34">
        <f t="shared" si="18"/>
        <v>0</v>
      </c>
      <c r="V46" s="55">
        <f t="shared" si="12"/>
        <v>0</v>
      </c>
      <c r="W46" s="55">
        <f t="shared" si="13"/>
        <v>0</v>
      </c>
      <c r="X46" s="60">
        <f t="shared" si="20"/>
        <v>0</v>
      </c>
      <c r="Y46" s="59"/>
      <c r="Z46" s="60">
        <f t="shared" si="15"/>
        <v>0</v>
      </c>
      <c r="AC46" s="54" t="s">
        <v>115</v>
      </c>
    </row>
    <row r="47" spans="2:31" ht="14.65" customHeight="1" x14ac:dyDescent="0.3">
      <c r="B47" s="65"/>
      <c r="C47" s="64"/>
      <c r="D47" s="22">
        <f t="shared" si="19"/>
        <v>0</v>
      </c>
      <c r="E47" s="38"/>
      <c r="I47" s="70"/>
      <c r="K47" s="55">
        <f t="shared" si="10"/>
        <v>0</v>
      </c>
      <c r="L47" s="59"/>
      <c r="M47" s="59"/>
      <c r="N47" s="55">
        <f t="shared" si="11"/>
        <v>0</v>
      </c>
      <c r="O47" s="56"/>
      <c r="P47" s="57">
        <f t="shared" si="16"/>
        <v>0</v>
      </c>
      <c r="Q47" s="20"/>
      <c r="R47" s="66"/>
      <c r="S47" s="34">
        <f t="shared" si="17"/>
        <v>0</v>
      </c>
      <c r="T47" s="34">
        <f t="shared" si="18"/>
        <v>0</v>
      </c>
      <c r="V47" s="55">
        <f t="shared" si="12"/>
        <v>0</v>
      </c>
      <c r="W47" s="55">
        <f t="shared" si="13"/>
        <v>0</v>
      </c>
      <c r="X47" s="60">
        <f t="shared" si="20"/>
        <v>0</v>
      </c>
      <c r="Y47" s="59"/>
      <c r="Z47" s="60">
        <f t="shared" si="15"/>
        <v>0</v>
      </c>
      <c r="AC47" s="54" t="s">
        <v>165</v>
      </c>
    </row>
    <row r="48" spans="2:31" ht="14.65" customHeight="1" x14ac:dyDescent="0.3">
      <c r="B48" s="65"/>
      <c r="C48" s="64"/>
      <c r="D48" s="22">
        <f t="shared" si="19"/>
        <v>0</v>
      </c>
      <c r="E48" s="38"/>
      <c r="I48" s="70"/>
      <c r="K48" s="55">
        <f t="shared" si="10"/>
        <v>0</v>
      </c>
      <c r="L48" s="59"/>
      <c r="M48" s="59"/>
      <c r="N48" s="55">
        <f t="shared" si="11"/>
        <v>0</v>
      </c>
      <c r="O48" s="56"/>
      <c r="P48" s="57">
        <f t="shared" si="16"/>
        <v>0</v>
      </c>
      <c r="Q48" s="20"/>
      <c r="R48" s="66"/>
      <c r="S48" s="34">
        <f t="shared" si="17"/>
        <v>0</v>
      </c>
      <c r="T48" s="34">
        <f t="shared" si="18"/>
        <v>0</v>
      </c>
      <c r="V48" s="55">
        <f t="shared" si="12"/>
        <v>0</v>
      </c>
      <c r="W48" s="55">
        <f t="shared" si="13"/>
        <v>0</v>
      </c>
      <c r="X48" s="60">
        <f t="shared" si="20"/>
        <v>0</v>
      </c>
      <c r="Y48" s="59"/>
      <c r="Z48" s="60">
        <f t="shared" si="15"/>
        <v>0</v>
      </c>
      <c r="AC48" s="54" t="s">
        <v>123</v>
      </c>
    </row>
    <row r="49" spans="2:31" ht="14.65" customHeight="1" x14ac:dyDescent="0.3">
      <c r="B49" s="65"/>
      <c r="C49" s="64"/>
      <c r="D49" s="22">
        <f t="shared" si="19"/>
        <v>0</v>
      </c>
      <c r="E49" s="38"/>
      <c r="I49" s="70"/>
      <c r="K49" s="55">
        <f t="shared" si="10"/>
        <v>0</v>
      </c>
      <c r="L49" s="59"/>
      <c r="M49" s="59"/>
      <c r="N49" s="55">
        <f t="shared" si="11"/>
        <v>0</v>
      </c>
      <c r="O49" s="56"/>
      <c r="P49" s="57">
        <f t="shared" si="16"/>
        <v>0</v>
      </c>
      <c r="Q49" s="20"/>
      <c r="R49" s="66"/>
      <c r="S49" s="34">
        <f t="shared" si="17"/>
        <v>0</v>
      </c>
      <c r="T49" s="34">
        <f t="shared" si="18"/>
        <v>0</v>
      </c>
      <c r="V49" s="55">
        <f t="shared" si="12"/>
        <v>0</v>
      </c>
      <c r="W49" s="55">
        <f t="shared" si="13"/>
        <v>0</v>
      </c>
      <c r="X49" s="60">
        <f t="shared" si="20"/>
        <v>0</v>
      </c>
      <c r="Y49" s="59"/>
      <c r="Z49" s="60">
        <f t="shared" si="15"/>
        <v>0</v>
      </c>
      <c r="AC49" s="54" t="s">
        <v>158</v>
      </c>
    </row>
    <row r="50" spans="2:31" ht="14.65" customHeight="1" x14ac:dyDescent="0.3">
      <c r="B50" s="65"/>
      <c r="C50" s="64"/>
      <c r="D50" s="22">
        <f t="shared" si="19"/>
        <v>0</v>
      </c>
      <c r="E50" s="38"/>
      <c r="I50" s="70"/>
      <c r="K50" s="55">
        <f t="shared" si="10"/>
        <v>0</v>
      </c>
      <c r="L50" s="59"/>
      <c r="M50" s="59"/>
      <c r="N50" s="55">
        <f t="shared" si="11"/>
        <v>0</v>
      </c>
      <c r="O50" s="56"/>
      <c r="P50" s="57">
        <f t="shared" si="16"/>
        <v>0</v>
      </c>
      <c r="Q50" s="20"/>
      <c r="R50" s="66"/>
      <c r="S50" s="34">
        <f t="shared" si="17"/>
        <v>0</v>
      </c>
      <c r="T50" s="34">
        <f t="shared" si="18"/>
        <v>0</v>
      </c>
      <c r="V50" s="55">
        <f t="shared" si="12"/>
        <v>0</v>
      </c>
      <c r="W50" s="55">
        <f t="shared" si="13"/>
        <v>0</v>
      </c>
      <c r="X50" s="60">
        <f t="shared" si="20"/>
        <v>0</v>
      </c>
      <c r="Y50" s="59"/>
      <c r="Z50" s="60">
        <f t="shared" si="15"/>
        <v>0</v>
      </c>
      <c r="AC50" s="54" t="s">
        <v>173</v>
      </c>
    </row>
    <row r="51" spans="2:31" ht="14.65" customHeight="1" x14ac:dyDescent="0.3">
      <c r="B51" s="65"/>
      <c r="C51" s="64"/>
      <c r="D51" s="22">
        <f t="shared" si="19"/>
        <v>0</v>
      </c>
      <c r="E51" s="38"/>
      <c r="I51" s="70"/>
      <c r="K51" s="55">
        <f t="shared" si="10"/>
        <v>0</v>
      </c>
      <c r="L51" s="59"/>
      <c r="M51" s="59"/>
      <c r="N51" s="55">
        <f t="shared" si="11"/>
        <v>0</v>
      </c>
      <c r="O51" s="56"/>
      <c r="P51" s="57">
        <f t="shared" si="16"/>
        <v>0</v>
      </c>
      <c r="Q51" s="20"/>
      <c r="R51" s="66"/>
      <c r="S51" s="34">
        <f t="shared" si="17"/>
        <v>0</v>
      </c>
      <c r="T51" s="34">
        <f t="shared" si="18"/>
        <v>0</v>
      </c>
      <c r="V51" s="55">
        <f t="shared" si="12"/>
        <v>0</v>
      </c>
      <c r="W51" s="55">
        <f t="shared" si="13"/>
        <v>0</v>
      </c>
      <c r="X51" s="60">
        <f t="shared" si="20"/>
        <v>0</v>
      </c>
      <c r="Y51" s="59"/>
      <c r="Z51" s="60">
        <f t="shared" si="15"/>
        <v>0</v>
      </c>
      <c r="AC51" s="54" t="s">
        <v>90</v>
      </c>
    </row>
    <row r="52" spans="2:31" ht="14.65" customHeight="1" x14ac:dyDescent="0.3">
      <c r="B52" s="65"/>
      <c r="C52" s="64"/>
      <c r="D52" s="22">
        <f t="shared" si="19"/>
        <v>0</v>
      </c>
      <c r="E52" s="38"/>
      <c r="I52" s="70"/>
      <c r="K52" s="55">
        <f t="shared" si="10"/>
        <v>0</v>
      </c>
      <c r="L52" s="59"/>
      <c r="M52" s="59"/>
      <c r="N52" s="55">
        <f t="shared" si="11"/>
        <v>0</v>
      </c>
      <c r="O52" s="56"/>
      <c r="P52" s="57">
        <f t="shared" si="16"/>
        <v>0</v>
      </c>
      <c r="Q52" s="20"/>
      <c r="R52" s="66"/>
      <c r="S52" s="34">
        <f t="shared" si="17"/>
        <v>0</v>
      </c>
      <c r="T52" s="34">
        <f t="shared" si="18"/>
        <v>0</v>
      </c>
      <c r="V52" s="55">
        <f t="shared" si="12"/>
        <v>0</v>
      </c>
      <c r="W52" s="55">
        <f t="shared" si="13"/>
        <v>0</v>
      </c>
      <c r="X52" s="60">
        <f t="shared" si="20"/>
        <v>0</v>
      </c>
      <c r="Y52" s="59"/>
      <c r="Z52" s="60">
        <f t="shared" si="15"/>
        <v>0</v>
      </c>
      <c r="AC52" s="54" t="s">
        <v>163</v>
      </c>
    </row>
    <row r="53" spans="2:31" ht="14.65" customHeight="1" thickBot="1" x14ac:dyDescent="0.35">
      <c r="B53" s="65"/>
      <c r="C53" s="64"/>
      <c r="D53" s="22">
        <f t="shared" si="19"/>
        <v>0</v>
      </c>
      <c r="E53" s="38"/>
      <c r="I53" s="70"/>
      <c r="K53" s="55">
        <f t="shared" si="10"/>
        <v>0</v>
      </c>
      <c r="L53" s="59"/>
      <c r="M53" s="59"/>
      <c r="N53" s="55">
        <f t="shared" si="11"/>
        <v>0</v>
      </c>
      <c r="O53" s="56"/>
      <c r="P53" s="58">
        <f t="shared" si="16"/>
        <v>0</v>
      </c>
      <c r="Q53" s="20"/>
      <c r="R53" s="66"/>
      <c r="S53" s="34">
        <f t="shared" si="17"/>
        <v>0</v>
      </c>
      <c r="T53" s="34">
        <f t="shared" si="18"/>
        <v>0</v>
      </c>
      <c r="V53" s="55">
        <f t="shared" si="12"/>
        <v>0</v>
      </c>
      <c r="W53" s="55">
        <f t="shared" si="13"/>
        <v>0</v>
      </c>
      <c r="X53" s="60">
        <f t="shared" si="14"/>
        <v>0</v>
      </c>
      <c r="Y53" s="59"/>
      <c r="Z53" s="60">
        <f t="shared" si="15"/>
        <v>0</v>
      </c>
      <c r="AC53" s="54" t="s">
        <v>151</v>
      </c>
    </row>
    <row r="54" spans="2:31" ht="14.65" customHeight="1" x14ac:dyDescent="0.3">
      <c r="K54" s="59"/>
      <c r="L54" s="59"/>
      <c r="M54" s="59"/>
      <c r="N54" s="59"/>
      <c r="O54" s="59"/>
      <c r="P54" s="59"/>
      <c r="V54" s="59"/>
      <c r="W54" s="59"/>
      <c r="X54" s="59"/>
      <c r="Y54" s="59"/>
      <c r="Z54" s="59"/>
    </row>
    <row r="55" spans="2:31" ht="14.65" customHeight="1" x14ac:dyDescent="0.3">
      <c r="C55" s="21">
        <f>SUM(C40:C53)</f>
        <v>400</v>
      </c>
      <c r="D55" s="21">
        <f>SUM(D40:D53)</f>
        <v>12000</v>
      </c>
      <c r="E55" s="21"/>
      <c r="J55" s="5"/>
      <c r="K55" s="56">
        <f>SUM(K40:K53)</f>
        <v>1846.7999999999997</v>
      </c>
      <c r="L55" s="59"/>
      <c r="M55" s="59"/>
      <c r="N55" s="56">
        <f>SUM(N40:N53)</f>
        <v>590.99999999999989</v>
      </c>
      <c r="O55" s="56"/>
      <c r="P55" s="56">
        <f>SUM(P40:P53)</f>
        <v>2437.7999999999997</v>
      </c>
      <c r="Q55" s="20"/>
      <c r="S55" s="21">
        <f>SUM(S40:S53)</f>
        <v>0</v>
      </c>
      <c r="T55" s="21">
        <f>SUM(T40:T53)</f>
        <v>0</v>
      </c>
      <c r="U55" s="20"/>
      <c r="V55" s="56">
        <f>SUM(V40:V53)</f>
        <v>0</v>
      </c>
      <c r="W55" s="56">
        <f>SUM(W40:W53)</f>
        <v>0</v>
      </c>
      <c r="X55" s="56">
        <f>SUM(X40:X53)</f>
        <v>0</v>
      </c>
      <c r="Y55" s="59"/>
      <c r="Z55" s="56">
        <f>SUM(Z40:Z53)</f>
        <v>2437.7999999999997</v>
      </c>
    </row>
    <row r="56" spans="2:31" ht="14.65" customHeight="1" x14ac:dyDescent="0.3">
      <c r="C56" s="16"/>
      <c r="D56" s="15"/>
      <c r="E56" s="15"/>
    </row>
    <row r="57" spans="2:31" ht="14.65" customHeight="1" x14ac:dyDescent="0.3">
      <c r="C57" s="16"/>
      <c r="D57" s="15"/>
      <c r="E57" s="15"/>
    </row>
    <row r="58" spans="2:31" ht="14.65" customHeight="1" x14ac:dyDescent="0.3">
      <c r="B58" s="9"/>
      <c r="C58" s="10"/>
      <c r="D58" s="10"/>
      <c r="E58" s="10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4"/>
    </row>
    <row r="59" spans="2:31" s="73" customFormat="1" ht="21" customHeight="1" x14ac:dyDescent="0.3">
      <c r="B59" s="97" t="s">
        <v>31</v>
      </c>
      <c r="C59" s="97"/>
      <c r="D59" s="14"/>
      <c r="E59" s="87"/>
      <c r="F59" s="87"/>
      <c r="G59" s="4"/>
      <c r="H59" s="4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C59" s="75"/>
      <c r="AD59" s="75"/>
      <c r="AE59" s="75"/>
    </row>
    <row r="60" spans="2:31" ht="14.65" customHeight="1" x14ac:dyDescent="0.3">
      <c r="C60" s="8"/>
      <c r="G60" s="14"/>
      <c r="X60" s="14"/>
      <c r="Z60" s="54"/>
      <c r="AA60" s="54"/>
      <c r="AB60" s="54"/>
      <c r="AC60" s="4"/>
      <c r="AD60" s="4"/>
      <c r="AE60" s="4"/>
    </row>
    <row r="61" spans="2:31" ht="32.25" customHeight="1" x14ac:dyDescent="0.3">
      <c r="B61" s="7"/>
      <c r="C61" s="36" t="s">
        <v>3</v>
      </c>
      <c r="G61" s="14"/>
      <c r="X61" s="14"/>
      <c r="Z61" s="54"/>
      <c r="AA61" s="54"/>
      <c r="AB61" s="54"/>
      <c r="AC61" s="4"/>
      <c r="AD61" s="4"/>
      <c r="AE61" s="4"/>
    </row>
    <row r="62" spans="2:31" ht="14.65" customHeight="1" x14ac:dyDescent="0.3">
      <c r="B62" s="18" t="s">
        <v>17</v>
      </c>
      <c r="C62" s="55">
        <f>K35</f>
        <v>12759.495000000001</v>
      </c>
      <c r="D62" s="59"/>
      <c r="E62" s="59"/>
      <c r="F62" s="59"/>
      <c r="G62" s="14"/>
      <c r="X62" s="14"/>
      <c r="Z62" s="54"/>
      <c r="AA62" s="54"/>
      <c r="AB62" s="54"/>
      <c r="AC62" s="4"/>
      <c r="AD62" s="4"/>
      <c r="AE62" s="4"/>
    </row>
    <row r="63" spans="2:31" ht="14.65" customHeight="1" x14ac:dyDescent="0.3">
      <c r="B63" s="18" t="s">
        <v>28</v>
      </c>
      <c r="C63" s="55">
        <f>M35</f>
        <v>1597.482</v>
      </c>
      <c r="D63" s="59"/>
      <c r="E63" s="59"/>
      <c r="F63" s="59"/>
      <c r="G63" s="14"/>
      <c r="X63" s="14"/>
      <c r="Z63" s="54"/>
      <c r="AA63" s="54"/>
      <c r="AB63" s="54"/>
      <c r="AC63" s="4"/>
      <c r="AD63" s="4"/>
      <c r="AE63" s="4"/>
    </row>
    <row r="64" spans="2:31" ht="14.65" customHeight="1" x14ac:dyDescent="0.3">
      <c r="B64" s="18" t="s">
        <v>29</v>
      </c>
      <c r="C64" s="55">
        <f>N35</f>
        <v>224.87549999999996</v>
      </c>
      <c r="D64" s="59"/>
      <c r="E64" s="59"/>
      <c r="F64" s="59"/>
      <c r="G64" s="14"/>
      <c r="X64" s="14"/>
      <c r="Z64" s="54"/>
      <c r="AA64" s="54"/>
      <c r="AB64" s="54"/>
      <c r="AC64" s="4"/>
      <c r="AD64" s="4"/>
      <c r="AE64" s="4"/>
    </row>
    <row r="65" spans="2:31" ht="14.65" customHeight="1" x14ac:dyDescent="0.3">
      <c r="B65" s="18" t="s">
        <v>9</v>
      </c>
      <c r="C65" s="55">
        <f>K55</f>
        <v>1846.7999999999997</v>
      </c>
      <c r="D65" s="59"/>
      <c r="E65" s="59"/>
      <c r="F65" s="59"/>
      <c r="G65" s="14"/>
      <c r="X65" s="14"/>
      <c r="Z65" s="54"/>
      <c r="AA65" s="54"/>
      <c r="AB65" s="54"/>
      <c r="AC65" s="4"/>
      <c r="AD65" s="4"/>
      <c r="AE65" s="4"/>
    </row>
    <row r="66" spans="2:31" ht="14.65" customHeight="1" x14ac:dyDescent="0.3">
      <c r="B66" s="18" t="s">
        <v>30</v>
      </c>
      <c r="C66" s="55">
        <f>N55</f>
        <v>590.99999999999989</v>
      </c>
      <c r="D66" s="59"/>
      <c r="E66" s="59"/>
      <c r="F66" s="59"/>
      <c r="G66" s="14"/>
      <c r="X66" s="14"/>
      <c r="Z66" s="54"/>
      <c r="AA66" s="54"/>
      <c r="AB66" s="54"/>
      <c r="AC66" s="4"/>
      <c r="AD66" s="4"/>
      <c r="AE66" s="4"/>
    </row>
    <row r="67" spans="2:31" ht="14.65" customHeight="1" x14ac:dyDescent="0.3">
      <c r="B67" s="18" t="s">
        <v>42</v>
      </c>
      <c r="C67" s="55">
        <f>V55</f>
        <v>0</v>
      </c>
      <c r="D67" s="59"/>
      <c r="E67" s="59"/>
      <c r="F67" s="59"/>
      <c r="G67" s="14"/>
      <c r="X67" s="14"/>
      <c r="Z67" s="54"/>
      <c r="AA67" s="54"/>
      <c r="AB67" s="54"/>
      <c r="AC67" s="4"/>
      <c r="AD67" s="4"/>
      <c r="AE67" s="4"/>
    </row>
    <row r="68" spans="2:31" ht="14.65" customHeight="1" x14ac:dyDescent="0.3">
      <c r="B68" s="18" t="s">
        <v>43</v>
      </c>
      <c r="C68" s="55">
        <f>W55</f>
        <v>0</v>
      </c>
      <c r="D68" s="59"/>
      <c r="E68" s="59"/>
      <c r="F68" s="59"/>
      <c r="G68" s="14"/>
      <c r="X68" s="14"/>
      <c r="Z68" s="54"/>
      <c r="AA68" s="54"/>
      <c r="AB68" s="54"/>
      <c r="AC68" s="4"/>
      <c r="AD68" s="4"/>
      <c r="AE68" s="4"/>
    </row>
    <row r="69" spans="2:31" ht="14.65" customHeight="1" x14ac:dyDescent="0.3">
      <c r="C69" s="59"/>
      <c r="D69" s="59"/>
      <c r="E69" s="59"/>
      <c r="F69" s="59"/>
      <c r="G69" s="14"/>
      <c r="X69" s="14"/>
      <c r="Z69" s="54"/>
      <c r="AA69" s="54"/>
      <c r="AB69" s="54"/>
      <c r="AC69" s="4"/>
      <c r="AD69" s="4"/>
      <c r="AE69" s="4"/>
    </row>
    <row r="70" spans="2:31" ht="14.65" customHeight="1" x14ac:dyDescent="0.3">
      <c r="C70" s="59"/>
      <c r="D70" s="59"/>
      <c r="E70" s="59"/>
      <c r="F70" s="59"/>
      <c r="G70" s="14"/>
      <c r="X70" s="14"/>
      <c r="Z70" s="54"/>
      <c r="AA70" s="54"/>
      <c r="AB70" s="54"/>
      <c r="AC70" s="4"/>
      <c r="AD70" s="4"/>
      <c r="AE70" s="4"/>
    </row>
    <row r="71" spans="2:31" ht="14.65" customHeight="1" x14ac:dyDescent="0.3">
      <c r="B71" s="35" t="s">
        <v>14</v>
      </c>
      <c r="C71" s="61">
        <f>SUM(C62:C68)</f>
        <v>17019.6525</v>
      </c>
      <c r="D71" s="72" t="str">
        <f>C4</f>
        <v>EUR</v>
      </c>
      <c r="E71" s="59"/>
      <c r="F71" s="59"/>
      <c r="G71" s="1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4"/>
      <c r="Z71" s="54"/>
      <c r="AA71" s="54"/>
      <c r="AB71" s="54"/>
      <c r="AC71" s="4"/>
      <c r="AD71" s="4"/>
      <c r="AE71" s="4"/>
    </row>
    <row r="72" spans="2:31" ht="14.65" customHeight="1" x14ac:dyDescent="0.3">
      <c r="X72" s="14"/>
      <c r="Z72" s="54"/>
      <c r="AA72" s="54"/>
      <c r="AB72" s="54"/>
      <c r="AC72" s="4"/>
      <c r="AD72" s="4"/>
      <c r="AE72" s="4"/>
    </row>
  </sheetData>
  <sheetProtection algorithmName="SHA-512" hashValue="hjlPFwYxLssbmDRHtDiVNwdADiqZXmu5wfKs+Gex1ktdlzyBR2gEbCUB7pjmVsY2iGUdGkS5rwmOA5lGHJ8FWw==" saltValue="nt8VagB2jBN34fjM0n6LYA==" spinCount="100000" sheet="1" objects="1" scenarios="1"/>
  <sortState xmlns:xlrd2="http://schemas.microsoft.com/office/spreadsheetml/2017/richdata2" ref="AE5:AE21">
    <sortCondition ref="AE5:AE21"/>
  </sortState>
  <mergeCells count="11">
    <mergeCell ref="B37:I37"/>
    <mergeCell ref="K37:P37"/>
    <mergeCell ref="V37:X37"/>
    <mergeCell ref="R37:T37"/>
    <mergeCell ref="B59:C59"/>
    <mergeCell ref="F22:F23"/>
    <mergeCell ref="K22:K23"/>
    <mergeCell ref="E22:E23"/>
    <mergeCell ref="D3:D4"/>
    <mergeCell ref="B17:I17"/>
    <mergeCell ref="K17:P17"/>
  </mergeCells>
  <phoneticPr fontId="3" type="noConversion"/>
  <conditionalFormatting sqref="C58">
    <cfRule type="expression" dxfId="0" priority="4">
      <formula>$I$40&gt;2</formula>
    </cfRule>
  </conditionalFormatting>
  <dataValidations count="5">
    <dataValidation type="list" allowBlank="1" showInputMessage="1" showErrorMessage="1" sqref="C3" xr:uid="{95D9A266-22D6-4167-B510-455964817C8A}">
      <formula1>$AC$2:$AC$53</formula1>
    </dataValidation>
    <dataValidation type="list" allowBlank="1" showInputMessage="1" showErrorMessage="1" sqref="C4" xr:uid="{16E839AF-98A2-46D0-9246-3FACBF0BC514}">
      <formula1>$AE$2:$AE$18</formula1>
    </dataValidation>
    <dataValidation type="whole" operator="greaterThanOrEqual" allowBlank="1" showInputMessage="1" showErrorMessage="1" sqref="H20:H33" xr:uid="{5C308B47-D494-49B2-A9BD-BE9D82E32F0B}">
      <formula1>3</formula1>
    </dataValidation>
    <dataValidation type="whole" operator="greaterThanOrEqual" allowBlank="1" showInputMessage="1" showErrorMessage="1" sqref="I20:I33" xr:uid="{B55AE2B1-1986-40AD-8FDD-4A1AF70C466B}">
      <formula1>H20</formula1>
    </dataValidation>
    <dataValidation type="whole" operator="greaterThanOrEqual" allowBlank="1" showInputMessage="1" showErrorMessage="1" sqref="I40:I53" xr:uid="{2CD8D020-361F-44B4-9BE9-848E2231E47F}">
      <formula1>1</formula1>
    </dataValidation>
  </dataValidations>
  <hyperlinks>
    <hyperlink ref="H1" r:id="rId1" display="https://azure.microsoft.com/en-us/pricing/details/microsoft-sentinel/" xr:uid="{3C748D32-5BA9-41DA-A9AE-A8CBFFB14A2C}"/>
    <hyperlink ref="B6" r:id="rId2" xr:uid="{3874EB3B-B5D8-4846-B1CA-5B18D21C34D1}"/>
    <hyperlink ref="B5" r:id="rId3" xr:uid="{B98B3166-A259-42A1-A2D9-C489E6CB27ED}"/>
  </hyperlinks>
  <pageMargins left="0.7" right="0.7" top="0.75" bottom="0.75" header="0.3" footer="0.3"/>
  <pageSetup paperSize="9" orientation="portrait" r:id="rId4"/>
  <ignoredErrors>
    <ignoredError sqref="G9" formulaRange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D4BD-7F46-4FC0-9532-639C5A3E0A22}">
  <sheetPr codeName="Sheet2"/>
  <dimension ref="A1:AA31"/>
  <sheetViews>
    <sheetView workbookViewId="0">
      <selection activeCell="I5" sqref="I5:I17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22.140625" bestFit="1" customWidth="1"/>
    <col min="4" max="4" width="22" bestFit="1" customWidth="1"/>
    <col min="5" max="5" width="25.7109375" bestFit="1" customWidth="1"/>
    <col min="6" max="6" width="24.28515625" bestFit="1" customWidth="1"/>
    <col min="7" max="7" width="20.7109375" style="46" bestFit="1" customWidth="1"/>
    <col min="8" max="8" width="17.28515625" customWidth="1"/>
    <col min="9" max="9" width="24.42578125" customWidth="1"/>
    <col min="10" max="10" width="16.42578125" bestFit="1" customWidth="1"/>
    <col min="11" max="11" width="26.140625" customWidth="1"/>
    <col min="12" max="12" width="25.28515625" customWidth="1"/>
    <col min="13" max="13" width="38" bestFit="1" customWidth="1"/>
    <col min="14" max="14" width="44.140625" bestFit="1" customWidth="1"/>
    <col min="15" max="15" width="17.85546875" customWidth="1"/>
    <col min="16" max="16" width="19.85546875" bestFit="1" customWidth="1"/>
    <col min="17" max="17" width="21.5703125" bestFit="1" customWidth="1"/>
    <col min="18" max="18" width="28.28515625" bestFit="1" customWidth="1"/>
    <col min="19" max="19" width="21.140625" customWidth="1"/>
    <col min="20" max="20" width="17.42578125" customWidth="1"/>
    <col min="21" max="21" width="27.7109375" customWidth="1"/>
    <col min="22" max="22" width="22.7109375" bestFit="1" customWidth="1"/>
    <col min="23" max="23" width="13" customWidth="1"/>
    <col min="24" max="24" width="29.5703125" customWidth="1"/>
    <col min="25" max="25" width="28.28515625" bestFit="1" customWidth="1"/>
    <col min="26" max="26" width="15.7109375" customWidth="1"/>
    <col min="27" max="27" width="8.85546875" customWidth="1"/>
  </cols>
  <sheetData>
    <row r="1" spans="1:2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s="46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</row>
    <row r="2" spans="1:27" x14ac:dyDescent="0.25">
      <c r="A2" t="s">
        <v>179</v>
      </c>
      <c r="B2" t="s">
        <v>72</v>
      </c>
      <c r="C2" t="s">
        <v>73</v>
      </c>
      <c r="D2" t="s">
        <v>179</v>
      </c>
      <c r="E2">
        <v>0</v>
      </c>
      <c r="G2">
        <v>1.7105999999999999</v>
      </c>
      <c r="H2">
        <v>1.7105999999999999</v>
      </c>
      <c r="I2" t="s">
        <v>233</v>
      </c>
      <c r="J2" t="s">
        <v>143</v>
      </c>
      <c r="K2" s="45">
        <v>44927.083333333336</v>
      </c>
      <c r="M2" t="s">
        <v>234</v>
      </c>
      <c r="N2" t="s">
        <v>100</v>
      </c>
      <c r="O2" t="s">
        <v>76</v>
      </c>
      <c r="P2" t="s">
        <v>235</v>
      </c>
      <c r="Q2" t="s">
        <v>77</v>
      </c>
      <c r="R2" t="s">
        <v>101</v>
      </c>
      <c r="S2" t="s">
        <v>77</v>
      </c>
      <c r="T2" t="s">
        <v>79</v>
      </c>
      <c r="U2" t="s">
        <v>80</v>
      </c>
      <c r="V2" t="s">
        <v>102</v>
      </c>
      <c r="W2" t="s">
        <v>82</v>
      </c>
      <c r="X2" t="b">
        <v>1</v>
      </c>
      <c r="Y2" t="s">
        <v>101</v>
      </c>
      <c r="AA2">
        <v>30</v>
      </c>
    </row>
    <row r="3" spans="1:27" x14ac:dyDescent="0.25">
      <c r="A3" t="s">
        <v>179</v>
      </c>
      <c r="B3" t="s">
        <v>72</v>
      </c>
      <c r="C3" t="s">
        <v>73</v>
      </c>
      <c r="D3" t="s">
        <v>179</v>
      </c>
      <c r="E3">
        <v>0</v>
      </c>
      <c r="G3">
        <v>1.9672000000000001</v>
      </c>
      <c r="H3">
        <v>1.9672000000000001</v>
      </c>
      <c r="I3" t="s">
        <v>233</v>
      </c>
      <c r="J3" t="s">
        <v>143</v>
      </c>
      <c r="K3" s="45">
        <v>42156.125</v>
      </c>
      <c r="M3" t="s">
        <v>198</v>
      </c>
      <c r="N3" t="s">
        <v>199</v>
      </c>
      <c r="O3" t="s">
        <v>200</v>
      </c>
      <c r="P3" t="s">
        <v>236</v>
      </c>
      <c r="Q3" t="s">
        <v>201</v>
      </c>
      <c r="R3" t="s">
        <v>202</v>
      </c>
      <c r="S3" t="s">
        <v>201</v>
      </c>
      <c r="T3" t="s">
        <v>203</v>
      </c>
      <c r="U3" t="s">
        <v>80</v>
      </c>
      <c r="V3" t="s">
        <v>81</v>
      </c>
      <c r="W3" t="s">
        <v>82</v>
      </c>
      <c r="X3" t="b">
        <v>0</v>
      </c>
      <c r="Y3" t="s">
        <v>94</v>
      </c>
      <c r="AA3">
        <v>30</v>
      </c>
    </row>
    <row r="4" spans="1:27" x14ac:dyDescent="0.25">
      <c r="A4" t="s">
        <v>179</v>
      </c>
      <c r="B4" t="s">
        <v>72</v>
      </c>
      <c r="C4" t="s">
        <v>73</v>
      </c>
      <c r="D4" t="s">
        <v>179</v>
      </c>
      <c r="E4">
        <v>0</v>
      </c>
      <c r="G4">
        <v>4.4132999999999996</v>
      </c>
      <c r="H4">
        <v>4.4132999999999996</v>
      </c>
      <c r="I4" t="s">
        <v>233</v>
      </c>
      <c r="J4" t="s">
        <v>143</v>
      </c>
      <c r="K4" s="45">
        <v>45108.125</v>
      </c>
      <c r="M4" t="s">
        <v>237</v>
      </c>
      <c r="N4" t="s">
        <v>75</v>
      </c>
      <c r="O4" t="s">
        <v>76</v>
      </c>
      <c r="P4" t="s">
        <v>238</v>
      </c>
      <c r="Q4" t="s">
        <v>77</v>
      </c>
      <c r="R4" t="s">
        <v>78</v>
      </c>
      <c r="S4" t="s">
        <v>77</v>
      </c>
      <c r="T4" t="s">
        <v>79</v>
      </c>
      <c r="U4" t="s">
        <v>80</v>
      </c>
      <c r="V4" t="s">
        <v>81</v>
      </c>
      <c r="W4" t="s">
        <v>82</v>
      </c>
      <c r="X4" t="b">
        <v>1</v>
      </c>
      <c r="Y4" t="s">
        <v>78</v>
      </c>
      <c r="AA4">
        <v>30</v>
      </c>
    </row>
    <row r="5" spans="1:27" x14ac:dyDescent="0.25">
      <c r="A5" t="s">
        <v>179</v>
      </c>
      <c r="B5" t="s">
        <v>72</v>
      </c>
      <c r="C5" t="s">
        <v>73</v>
      </c>
      <c r="D5" t="s">
        <v>179</v>
      </c>
      <c r="E5">
        <v>0</v>
      </c>
      <c r="G5">
        <v>562.43589999999995</v>
      </c>
      <c r="H5">
        <v>562.43589999999995</v>
      </c>
      <c r="I5" t="s">
        <v>233</v>
      </c>
      <c r="J5" t="s">
        <v>143</v>
      </c>
      <c r="K5" s="45">
        <v>45108.125</v>
      </c>
      <c r="M5" t="s">
        <v>239</v>
      </c>
      <c r="N5" t="s">
        <v>88</v>
      </c>
      <c r="O5" t="s">
        <v>76</v>
      </c>
      <c r="P5" t="s">
        <v>240</v>
      </c>
      <c r="Q5" t="s">
        <v>77</v>
      </c>
      <c r="R5" t="s">
        <v>89</v>
      </c>
      <c r="S5" t="s">
        <v>77</v>
      </c>
      <c r="T5" t="s">
        <v>79</v>
      </c>
      <c r="U5" t="s">
        <v>80</v>
      </c>
      <c r="V5" t="s">
        <v>86</v>
      </c>
      <c r="W5" t="s">
        <v>82</v>
      </c>
      <c r="X5" t="b">
        <v>1</v>
      </c>
      <c r="Y5" t="s">
        <v>89</v>
      </c>
      <c r="AA5">
        <v>30</v>
      </c>
    </row>
    <row r="6" spans="1:27" x14ac:dyDescent="0.25">
      <c r="A6" t="s">
        <v>179</v>
      </c>
      <c r="B6" t="s">
        <v>72</v>
      </c>
      <c r="C6" t="s">
        <v>73</v>
      </c>
      <c r="D6" t="s">
        <v>179</v>
      </c>
      <c r="E6">
        <v>0</v>
      </c>
      <c r="G6">
        <v>0</v>
      </c>
      <c r="H6">
        <v>0</v>
      </c>
      <c r="I6" t="s">
        <v>233</v>
      </c>
      <c r="J6" t="s">
        <v>143</v>
      </c>
      <c r="K6" s="45">
        <v>44440.125</v>
      </c>
      <c r="M6" t="s">
        <v>241</v>
      </c>
      <c r="N6" t="s">
        <v>92</v>
      </c>
      <c r="O6" t="s">
        <v>76</v>
      </c>
      <c r="P6" t="s">
        <v>242</v>
      </c>
      <c r="Q6" t="s">
        <v>77</v>
      </c>
      <c r="R6" t="s">
        <v>93</v>
      </c>
      <c r="S6" t="s">
        <v>77</v>
      </c>
      <c r="T6" t="s">
        <v>79</v>
      </c>
      <c r="U6" t="s">
        <v>80</v>
      </c>
      <c r="V6" t="s">
        <v>81</v>
      </c>
      <c r="W6" t="s">
        <v>82</v>
      </c>
      <c r="X6" t="b">
        <v>1</v>
      </c>
      <c r="Y6" t="s">
        <v>94</v>
      </c>
      <c r="AA6">
        <v>30</v>
      </c>
    </row>
    <row r="7" spans="1:27" x14ac:dyDescent="0.25">
      <c r="A7" t="s">
        <v>179</v>
      </c>
      <c r="B7" t="s">
        <v>72</v>
      </c>
      <c r="C7" t="s">
        <v>73</v>
      </c>
      <c r="D7" t="s">
        <v>179</v>
      </c>
      <c r="E7">
        <v>0</v>
      </c>
      <c r="G7">
        <v>0.1026</v>
      </c>
      <c r="H7">
        <v>0.1026</v>
      </c>
      <c r="I7" t="s">
        <v>233</v>
      </c>
      <c r="J7" t="s">
        <v>143</v>
      </c>
      <c r="K7" s="45">
        <v>43132.083333333336</v>
      </c>
      <c r="M7" t="s">
        <v>243</v>
      </c>
      <c r="N7" t="s">
        <v>204</v>
      </c>
      <c r="O7" t="s">
        <v>200</v>
      </c>
      <c r="P7" t="s">
        <v>244</v>
      </c>
      <c r="Q7" t="s">
        <v>201</v>
      </c>
      <c r="R7" t="s">
        <v>205</v>
      </c>
      <c r="S7" t="s">
        <v>201</v>
      </c>
      <c r="T7" t="s">
        <v>203</v>
      </c>
      <c r="U7" t="s">
        <v>80</v>
      </c>
      <c r="V7" t="s">
        <v>121</v>
      </c>
      <c r="W7" t="s">
        <v>82</v>
      </c>
      <c r="X7" t="b">
        <v>1</v>
      </c>
      <c r="Y7" t="s">
        <v>94</v>
      </c>
      <c r="AA7">
        <v>30</v>
      </c>
    </row>
    <row r="8" spans="1:27" x14ac:dyDescent="0.25">
      <c r="A8" t="s">
        <v>179</v>
      </c>
      <c r="B8" t="s">
        <v>72</v>
      </c>
      <c r="C8" t="s">
        <v>73</v>
      </c>
      <c r="D8" t="s">
        <v>179</v>
      </c>
      <c r="E8">
        <v>0</v>
      </c>
      <c r="G8">
        <v>2.9935</v>
      </c>
      <c r="H8">
        <v>2.9935</v>
      </c>
      <c r="I8" t="s">
        <v>233</v>
      </c>
      <c r="J8" t="s">
        <v>143</v>
      </c>
      <c r="K8" s="45">
        <v>42156.125</v>
      </c>
      <c r="M8" t="s">
        <v>206</v>
      </c>
      <c r="N8" t="s">
        <v>207</v>
      </c>
      <c r="O8" t="s">
        <v>200</v>
      </c>
      <c r="P8" t="s">
        <v>245</v>
      </c>
      <c r="Q8" t="s">
        <v>201</v>
      </c>
      <c r="R8" t="s">
        <v>208</v>
      </c>
      <c r="S8" t="s">
        <v>201</v>
      </c>
      <c r="T8" t="s">
        <v>203</v>
      </c>
      <c r="U8" t="s">
        <v>80</v>
      </c>
      <c r="V8" t="s">
        <v>81</v>
      </c>
      <c r="W8" t="s">
        <v>82</v>
      </c>
      <c r="X8" t="b">
        <v>0</v>
      </c>
      <c r="Y8" t="s">
        <v>94</v>
      </c>
      <c r="AA8">
        <v>30</v>
      </c>
    </row>
    <row r="9" spans="1:27" x14ac:dyDescent="0.25">
      <c r="A9" t="s">
        <v>179</v>
      </c>
      <c r="B9" t="s">
        <v>72</v>
      </c>
      <c r="C9" t="s">
        <v>73</v>
      </c>
      <c r="D9" t="s">
        <v>179</v>
      </c>
      <c r="E9">
        <v>0</v>
      </c>
      <c r="G9">
        <v>0</v>
      </c>
      <c r="H9">
        <v>0</v>
      </c>
      <c r="I9" t="s">
        <v>233</v>
      </c>
      <c r="J9" t="s">
        <v>143</v>
      </c>
      <c r="K9" s="45">
        <v>42644.125</v>
      </c>
      <c r="M9" t="s">
        <v>209</v>
      </c>
      <c r="N9" t="s">
        <v>210</v>
      </c>
      <c r="O9" t="s">
        <v>200</v>
      </c>
      <c r="P9" t="s">
        <v>246</v>
      </c>
      <c r="Q9" t="s">
        <v>201</v>
      </c>
      <c r="R9" t="s">
        <v>211</v>
      </c>
      <c r="S9" t="s">
        <v>201</v>
      </c>
      <c r="T9" t="s">
        <v>203</v>
      </c>
      <c r="U9" t="s">
        <v>80</v>
      </c>
      <c r="V9" t="s">
        <v>81</v>
      </c>
      <c r="W9" t="s">
        <v>82</v>
      </c>
      <c r="X9" t="b">
        <v>0</v>
      </c>
      <c r="Y9" t="s">
        <v>94</v>
      </c>
      <c r="AA9">
        <v>30</v>
      </c>
    </row>
    <row r="10" spans="1:27" x14ac:dyDescent="0.25">
      <c r="A10" t="s">
        <v>179</v>
      </c>
      <c r="B10" t="s">
        <v>72</v>
      </c>
      <c r="C10" t="s">
        <v>73</v>
      </c>
      <c r="D10" t="s">
        <v>179</v>
      </c>
      <c r="E10">
        <v>0</v>
      </c>
      <c r="G10">
        <v>1.9672000000000001</v>
      </c>
      <c r="H10">
        <v>1.9672000000000001</v>
      </c>
      <c r="I10" t="s">
        <v>233</v>
      </c>
      <c r="J10" t="s">
        <v>143</v>
      </c>
      <c r="K10" s="45">
        <v>42644.125</v>
      </c>
      <c r="M10" t="s">
        <v>212</v>
      </c>
      <c r="N10" t="s">
        <v>213</v>
      </c>
      <c r="O10" t="s">
        <v>200</v>
      </c>
      <c r="P10" t="s">
        <v>244</v>
      </c>
      <c r="Q10" t="s">
        <v>201</v>
      </c>
      <c r="R10" t="s">
        <v>205</v>
      </c>
      <c r="S10" t="s">
        <v>201</v>
      </c>
      <c r="T10" t="s">
        <v>203</v>
      </c>
      <c r="U10" t="s">
        <v>80</v>
      </c>
      <c r="V10" t="s">
        <v>81</v>
      </c>
      <c r="W10" t="s">
        <v>82</v>
      </c>
      <c r="X10" t="b">
        <v>0</v>
      </c>
      <c r="Y10" t="s">
        <v>94</v>
      </c>
      <c r="AA10">
        <v>30</v>
      </c>
    </row>
    <row r="11" spans="1:27" x14ac:dyDescent="0.25">
      <c r="A11" t="s">
        <v>179</v>
      </c>
      <c r="B11" t="s">
        <v>72</v>
      </c>
      <c r="C11" t="s">
        <v>73</v>
      </c>
      <c r="D11" t="s">
        <v>179</v>
      </c>
      <c r="E11">
        <v>0</v>
      </c>
      <c r="G11">
        <v>11854.2593</v>
      </c>
      <c r="H11">
        <v>11854.2593</v>
      </c>
      <c r="I11" t="s">
        <v>233</v>
      </c>
      <c r="J11" t="s">
        <v>143</v>
      </c>
      <c r="K11" s="45">
        <v>45108.125</v>
      </c>
      <c r="M11" t="s">
        <v>247</v>
      </c>
      <c r="N11" t="s">
        <v>134</v>
      </c>
      <c r="O11" t="s">
        <v>76</v>
      </c>
      <c r="P11" t="s">
        <v>248</v>
      </c>
      <c r="Q11" t="s">
        <v>77</v>
      </c>
      <c r="R11" t="s">
        <v>135</v>
      </c>
      <c r="S11" t="s">
        <v>77</v>
      </c>
      <c r="T11" t="s">
        <v>79</v>
      </c>
      <c r="U11" t="s">
        <v>80</v>
      </c>
      <c r="V11" t="s">
        <v>86</v>
      </c>
      <c r="W11" t="s">
        <v>82</v>
      </c>
      <c r="X11" t="b">
        <v>1</v>
      </c>
      <c r="Y11" t="s">
        <v>135</v>
      </c>
      <c r="AA11">
        <v>30</v>
      </c>
    </row>
    <row r="12" spans="1:27" x14ac:dyDescent="0.25">
      <c r="A12" t="s">
        <v>179</v>
      </c>
      <c r="B12" t="s">
        <v>72</v>
      </c>
      <c r="C12" t="s">
        <v>73</v>
      </c>
      <c r="D12" t="s">
        <v>179</v>
      </c>
      <c r="E12">
        <v>0</v>
      </c>
      <c r="G12">
        <v>0</v>
      </c>
      <c r="H12">
        <v>0</v>
      </c>
      <c r="I12" t="s">
        <v>233</v>
      </c>
      <c r="J12" t="s">
        <v>143</v>
      </c>
      <c r="K12" s="45">
        <v>43770.083333333336</v>
      </c>
      <c r="M12" t="s">
        <v>144</v>
      </c>
      <c r="N12" t="s">
        <v>145</v>
      </c>
      <c r="O12" t="s">
        <v>76</v>
      </c>
      <c r="P12" t="s">
        <v>249</v>
      </c>
      <c r="Q12" t="s">
        <v>77</v>
      </c>
      <c r="R12" t="s">
        <v>146</v>
      </c>
      <c r="S12" t="s">
        <v>77</v>
      </c>
      <c r="T12" t="s">
        <v>79</v>
      </c>
      <c r="U12" t="s">
        <v>80</v>
      </c>
      <c r="V12" t="s">
        <v>81</v>
      </c>
      <c r="W12" t="s">
        <v>82</v>
      </c>
      <c r="X12" t="b">
        <v>0</v>
      </c>
      <c r="Y12" t="s">
        <v>94</v>
      </c>
      <c r="AA12">
        <v>30</v>
      </c>
    </row>
    <row r="13" spans="1:27" x14ac:dyDescent="0.25">
      <c r="A13" t="s">
        <v>179</v>
      </c>
      <c r="B13" t="s">
        <v>72</v>
      </c>
      <c r="C13" t="s">
        <v>73</v>
      </c>
      <c r="D13" t="s">
        <v>179</v>
      </c>
      <c r="E13">
        <v>0</v>
      </c>
      <c r="G13">
        <v>0.1026</v>
      </c>
      <c r="H13">
        <v>0.1026</v>
      </c>
      <c r="I13" t="s">
        <v>233</v>
      </c>
      <c r="J13" t="s">
        <v>143</v>
      </c>
      <c r="K13" s="45">
        <v>45931.125</v>
      </c>
      <c r="M13" t="s">
        <v>250</v>
      </c>
      <c r="N13" t="s">
        <v>227</v>
      </c>
      <c r="O13" t="s">
        <v>76</v>
      </c>
      <c r="P13" t="s">
        <v>251</v>
      </c>
      <c r="Q13" t="s">
        <v>77</v>
      </c>
      <c r="R13" t="s">
        <v>228</v>
      </c>
      <c r="S13" t="s">
        <v>77</v>
      </c>
      <c r="T13" t="s">
        <v>79</v>
      </c>
      <c r="U13" t="s">
        <v>80</v>
      </c>
      <c r="V13" t="s">
        <v>81</v>
      </c>
      <c r="W13" t="s">
        <v>82</v>
      </c>
      <c r="X13" t="b">
        <v>1</v>
      </c>
      <c r="Y13" t="s">
        <v>228</v>
      </c>
      <c r="AA13">
        <v>30</v>
      </c>
    </row>
    <row r="14" spans="1:27" x14ac:dyDescent="0.25">
      <c r="A14" t="s">
        <v>179</v>
      </c>
      <c r="B14" t="s">
        <v>72</v>
      </c>
      <c r="C14" t="s">
        <v>73</v>
      </c>
      <c r="D14" t="s">
        <v>179</v>
      </c>
      <c r="E14">
        <v>0</v>
      </c>
      <c r="G14">
        <v>1064.6596</v>
      </c>
      <c r="H14">
        <v>1064.6596</v>
      </c>
      <c r="I14" t="s">
        <v>233</v>
      </c>
      <c r="J14" t="s">
        <v>143</v>
      </c>
      <c r="K14" s="45">
        <v>45108.125</v>
      </c>
      <c r="M14" t="s">
        <v>252</v>
      </c>
      <c r="N14" t="s">
        <v>139</v>
      </c>
      <c r="O14" t="s">
        <v>76</v>
      </c>
      <c r="P14" t="s">
        <v>253</v>
      </c>
      <c r="Q14" t="s">
        <v>77</v>
      </c>
      <c r="R14" t="s">
        <v>140</v>
      </c>
      <c r="S14" t="s">
        <v>77</v>
      </c>
      <c r="T14" t="s">
        <v>79</v>
      </c>
      <c r="U14" t="s">
        <v>80</v>
      </c>
      <c r="V14" t="s">
        <v>86</v>
      </c>
      <c r="W14" t="s">
        <v>82</v>
      </c>
      <c r="X14" t="b">
        <v>1</v>
      </c>
      <c r="Y14" t="s">
        <v>140</v>
      </c>
      <c r="AA14">
        <v>30</v>
      </c>
    </row>
    <row r="15" spans="1:27" x14ac:dyDescent="0.25">
      <c r="A15" t="s">
        <v>179</v>
      </c>
      <c r="B15" t="s">
        <v>72</v>
      </c>
      <c r="C15" t="s">
        <v>73</v>
      </c>
      <c r="D15" t="s">
        <v>179</v>
      </c>
      <c r="E15">
        <v>0</v>
      </c>
      <c r="G15">
        <v>197.2182</v>
      </c>
      <c r="H15">
        <v>197.2182</v>
      </c>
      <c r="I15" t="s">
        <v>233</v>
      </c>
      <c r="J15" t="s">
        <v>143</v>
      </c>
      <c r="K15" s="45">
        <v>45931.125</v>
      </c>
      <c r="M15" t="s">
        <v>254</v>
      </c>
      <c r="N15" t="s">
        <v>229</v>
      </c>
      <c r="O15" t="s">
        <v>76</v>
      </c>
      <c r="P15" t="s">
        <v>255</v>
      </c>
      <c r="Q15" t="s">
        <v>77</v>
      </c>
      <c r="R15" t="s">
        <v>230</v>
      </c>
      <c r="S15" t="s">
        <v>77</v>
      </c>
      <c r="T15" t="s">
        <v>79</v>
      </c>
      <c r="U15" t="s">
        <v>80</v>
      </c>
      <c r="V15" t="s">
        <v>86</v>
      </c>
      <c r="W15" t="s">
        <v>82</v>
      </c>
      <c r="X15" t="b">
        <v>1</v>
      </c>
      <c r="Y15" t="s">
        <v>230</v>
      </c>
      <c r="AA15">
        <v>30</v>
      </c>
    </row>
    <row r="16" spans="1:27" x14ac:dyDescent="0.25">
      <c r="A16" t="s">
        <v>179</v>
      </c>
      <c r="B16" t="s">
        <v>72</v>
      </c>
      <c r="C16" t="s">
        <v>73</v>
      </c>
      <c r="D16" t="s">
        <v>179</v>
      </c>
      <c r="E16">
        <v>0</v>
      </c>
      <c r="G16">
        <v>0.94079999999999997</v>
      </c>
      <c r="H16">
        <v>0.94079999999999997</v>
      </c>
      <c r="I16" t="s">
        <v>233</v>
      </c>
      <c r="J16" t="s">
        <v>143</v>
      </c>
      <c r="K16" s="45">
        <v>45108.125</v>
      </c>
      <c r="M16" t="s">
        <v>256</v>
      </c>
      <c r="N16" t="s">
        <v>104</v>
      </c>
      <c r="O16" t="s">
        <v>76</v>
      </c>
      <c r="P16" t="s">
        <v>257</v>
      </c>
      <c r="Q16" t="s">
        <v>77</v>
      </c>
      <c r="R16" t="s">
        <v>105</v>
      </c>
      <c r="S16" t="s">
        <v>77</v>
      </c>
      <c r="T16" t="s">
        <v>79</v>
      </c>
      <c r="U16" t="s">
        <v>80</v>
      </c>
      <c r="V16" t="s">
        <v>81</v>
      </c>
      <c r="W16" t="s">
        <v>82</v>
      </c>
      <c r="X16" t="b">
        <v>1</v>
      </c>
      <c r="Y16" t="s">
        <v>105</v>
      </c>
      <c r="AA16">
        <v>30</v>
      </c>
    </row>
    <row r="17" spans="1:27" x14ac:dyDescent="0.25">
      <c r="A17" t="s">
        <v>179</v>
      </c>
      <c r="B17" t="s">
        <v>72</v>
      </c>
      <c r="C17" t="s">
        <v>73</v>
      </c>
      <c r="D17" t="s">
        <v>179</v>
      </c>
      <c r="E17">
        <v>0</v>
      </c>
      <c r="G17">
        <v>0</v>
      </c>
      <c r="H17">
        <v>0</v>
      </c>
      <c r="I17" t="s">
        <v>233</v>
      </c>
      <c r="J17" t="s">
        <v>143</v>
      </c>
      <c r="K17" s="45">
        <v>43132.083333333336</v>
      </c>
      <c r="M17" t="s">
        <v>258</v>
      </c>
      <c r="N17" t="s">
        <v>214</v>
      </c>
      <c r="O17" t="s">
        <v>200</v>
      </c>
      <c r="P17" t="s">
        <v>244</v>
      </c>
      <c r="Q17" t="s">
        <v>201</v>
      </c>
      <c r="R17" t="s">
        <v>205</v>
      </c>
      <c r="S17" t="s">
        <v>201</v>
      </c>
      <c r="T17" t="s">
        <v>203</v>
      </c>
      <c r="U17" t="s">
        <v>80</v>
      </c>
      <c r="V17" t="s">
        <v>81</v>
      </c>
      <c r="W17" t="s">
        <v>82</v>
      </c>
      <c r="X17" t="b">
        <v>1</v>
      </c>
      <c r="Y17" t="s">
        <v>94</v>
      </c>
      <c r="AA17">
        <v>30</v>
      </c>
    </row>
    <row r="18" spans="1:27" x14ac:dyDescent="0.25">
      <c r="A18" t="s">
        <v>179</v>
      </c>
      <c r="B18" t="s">
        <v>72</v>
      </c>
      <c r="C18" t="s">
        <v>73</v>
      </c>
      <c r="D18" t="s">
        <v>179</v>
      </c>
      <c r="E18">
        <v>5</v>
      </c>
      <c r="G18">
        <v>2.3605999999999998</v>
      </c>
      <c r="H18">
        <v>2.3605999999999998</v>
      </c>
      <c r="I18" t="s">
        <v>233</v>
      </c>
      <c r="J18" t="s">
        <v>143</v>
      </c>
      <c r="K18" s="45">
        <v>43132.083333333336</v>
      </c>
      <c r="M18" t="s">
        <v>258</v>
      </c>
      <c r="N18" t="s">
        <v>214</v>
      </c>
      <c r="O18" t="s">
        <v>200</v>
      </c>
      <c r="P18" t="s">
        <v>244</v>
      </c>
      <c r="Q18" t="s">
        <v>201</v>
      </c>
      <c r="R18" t="s">
        <v>205</v>
      </c>
      <c r="S18" t="s">
        <v>201</v>
      </c>
      <c r="T18" t="s">
        <v>203</v>
      </c>
      <c r="U18" t="s">
        <v>80</v>
      </c>
      <c r="V18" t="s">
        <v>81</v>
      </c>
      <c r="W18" t="s">
        <v>82</v>
      </c>
      <c r="X18" t="b">
        <v>1</v>
      </c>
      <c r="Y18" t="s">
        <v>94</v>
      </c>
      <c r="AA18">
        <v>30</v>
      </c>
    </row>
    <row r="19" spans="1:27" x14ac:dyDescent="0.25">
      <c r="A19" t="s">
        <v>179</v>
      </c>
      <c r="B19" t="s">
        <v>72</v>
      </c>
      <c r="C19" t="s">
        <v>73</v>
      </c>
      <c r="D19" t="s">
        <v>179</v>
      </c>
      <c r="E19">
        <v>0</v>
      </c>
      <c r="G19">
        <v>105302.7711</v>
      </c>
      <c r="H19">
        <v>105302.7711</v>
      </c>
      <c r="I19" t="s">
        <v>233</v>
      </c>
      <c r="J19" t="s">
        <v>143</v>
      </c>
      <c r="K19" s="45">
        <v>45170.125</v>
      </c>
      <c r="M19" t="s">
        <v>259</v>
      </c>
      <c r="N19" t="s">
        <v>113</v>
      </c>
      <c r="O19" t="s">
        <v>76</v>
      </c>
      <c r="P19" t="s">
        <v>260</v>
      </c>
      <c r="Q19" t="s">
        <v>77</v>
      </c>
      <c r="R19" t="s">
        <v>114</v>
      </c>
      <c r="S19" t="s">
        <v>77</v>
      </c>
      <c r="T19" t="s">
        <v>79</v>
      </c>
      <c r="U19" t="s">
        <v>80</v>
      </c>
      <c r="V19" t="s">
        <v>86</v>
      </c>
      <c r="W19" t="s">
        <v>82</v>
      </c>
      <c r="X19" t="b">
        <v>1</v>
      </c>
      <c r="Y19" t="s">
        <v>114</v>
      </c>
      <c r="AA19">
        <v>30</v>
      </c>
    </row>
    <row r="20" spans="1:27" x14ac:dyDescent="0.25">
      <c r="A20" t="s">
        <v>179</v>
      </c>
      <c r="B20" t="s">
        <v>72</v>
      </c>
      <c r="C20" t="s">
        <v>73</v>
      </c>
      <c r="D20" t="s">
        <v>179</v>
      </c>
      <c r="E20">
        <v>0</v>
      </c>
      <c r="G20">
        <v>5.1299999999999998E-2</v>
      </c>
      <c r="H20">
        <v>5.1299999999999998E-2</v>
      </c>
      <c r="I20" t="s">
        <v>233</v>
      </c>
      <c r="J20" t="s">
        <v>143</v>
      </c>
      <c r="K20" s="45">
        <v>45931.125</v>
      </c>
      <c r="M20" t="s">
        <v>261</v>
      </c>
      <c r="N20" t="s">
        <v>167</v>
      </c>
      <c r="O20" t="s">
        <v>76</v>
      </c>
      <c r="P20" t="s">
        <v>262</v>
      </c>
      <c r="Q20" t="s">
        <v>77</v>
      </c>
      <c r="R20" t="s">
        <v>9</v>
      </c>
      <c r="S20" t="s">
        <v>77</v>
      </c>
      <c r="T20" t="s">
        <v>79</v>
      </c>
      <c r="U20" t="s">
        <v>80</v>
      </c>
      <c r="V20" t="s">
        <v>81</v>
      </c>
      <c r="W20" t="s">
        <v>82</v>
      </c>
      <c r="X20" t="b">
        <v>1</v>
      </c>
      <c r="Y20" t="s">
        <v>9</v>
      </c>
      <c r="AA20">
        <v>30</v>
      </c>
    </row>
    <row r="21" spans="1:27" x14ac:dyDescent="0.25">
      <c r="A21" t="s">
        <v>179</v>
      </c>
      <c r="B21" t="s">
        <v>72</v>
      </c>
      <c r="C21" t="s">
        <v>73</v>
      </c>
      <c r="D21" t="s">
        <v>179</v>
      </c>
      <c r="E21">
        <v>0</v>
      </c>
      <c r="G21">
        <v>54858.022599999997</v>
      </c>
      <c r="H21">
        <v>54858.022599999997</v>
      </c>
      <c r="I21" t="s">
        <v>233</v>
      </c>
      <c r="J21" t="s">
        <v>143</v>
      </c>
      <c r="K21" s="45">
        <v>45170.125</v>
      </c>
      <c r="M21" t="s">
        <v>263</v>
      </c>
      <c r="N21" t="s">
        <v>124</v>
      </c>
      <c r="O21" t="s">
        <v>76</v>
      </c>
      <c r="P21" t="s">
        <v>264</v>
      </c>
      <c r="Q21" t="s">
        <v>77</v>
      </c>
      <c r="R21" t="s">
        <v>125</v>
      </c>
      <c r="S21" t="s">
        <v>77</v>
      </c>
      <c r="T21" t="s">
        <v>79</v>
      </c>
      <c r="U21" t="s">
        <v>80</v>
      </c>
      <c r="V21" t="s">
        <v>86</v>
      </c>
      <c r="W21" t="s">
        <v>82</v>
      </c>
      <c r="X21" t="b">
        <v>1</v>
      </c>
      <c r="Y21" t="s">
        <v>125</v>
      </c>
      <c r="AA21">
        <v>30</v>
      </c>
    </row>
    <row r="22" spans="1:27" x14ac:dyDescent="0.25">
      <c r="A22" t="s">
        <v>179</v>
      </c>
      <c r="B22" t="s">
        <v>72</v>
      </c>
      <c r="C22" t="s">
        <v>73</v>
      </c>
      <c r="D22" t="s">
        <v>179</v>
      </c>
      <c r="E22">
        <v>0</v>
      </c>
      <c r="G22">
        <v>303.79750000000001</v>
      </c>
      <c r="H22">
        <v>303.79750000000001</v>
      </c>
      <c r="I22" t="s">
        <v>233</v>
      </c>
      <c r="J22" t="s">
        <v>143</v>
      </c>
      <c r="K22" s="45">
        <v>45108.125</v>
      </c>
      <c r="M22" t="s">
        <v>265</v>
      </c>
      <c r="N22" t="s">
        <v>110</v>
      </c>
      <c r="O22" t="s">
        <v>76</v>
      </c>
      <c r="P22" t="s">
        <v>266</v>
      </c>
      <c r="Q22" t="s">
        <v>77</v>
      </c>
      <c r="R22" t="s">
        <v>111</v>
      </c>
      <c r="S22" t="s">
        <v>77</v>
      </c>
      <c r="T22" t="s">
        <v>79</v>
      </c>
      <c r="U22" t="s">
        <v>80</v>
      </c>
      <c r="V22" t="s">
        <v>86</v>
      </c>
      <c r="W22" t="s">
        <v>82</v>
      </c>
      <c r="X22" t="b">
        <v>1</v>
      </c>
      <c r="Y22" t="s">
        <v>111</v>
      </c>
      <c r="AA22">
        <v>30</v>
      </c>
    </row>
    <row r="23" spans="1:27" x14ac:dyDescent="0.25">
      <c r="A23" t="s">
        <v>179</v>
      </c>
      <c r="B23" t="s">
        <v>72</v>
      </c>
      <c r="C23" t="s">
        <v>73</v>
      </c>
      <c r="D23" t="s">
        <v>179</v>
      </c>
      <c r="E23">
        <v>0</v>
      </c>
      <c r="G23">
        <v>5.1299999999999998E-2</v>
      </c>
      <c r="H23">
        <v>5.1299999999999998E-2</v>
      </c>
      <c r="I23" t="s">
        <v>233</v>
      </c>
      <c r="J23" t="s">
        <v>143</v>
      </c>
      <c r="K23" s="45">
        <v>45413.125</v>
      </c>
      <c r="M23" t="s">
        <v>267</v>
      </c>
      <c r="N23" t="s">
        <v>133</v>
      </c>
      <c r="O23" t="s">
        <v>76</v>
      </c>
      <c r="P23" t="s">
        <v>268</v>
      </c>
      <c r="Q23" t="s">
        <v>77</v>
      </c>
      <c r="R23" t="s">
        <v>133</v>
      </c>
      <c r="S23" t="s">
        <v>77</v>
      </c>
      <c r="T23" t="s">
        <v>79</v>
      </c>
      <c r="U23" t="s">
        <v>80</v>
      </c>
      <c r="V23" t="s">
        <v>81</v>
      </c>
      <c r="W23" t="s">
        <v>82</v>
      </c>
      <c r="X23" t="b">
        <v>1</v>
      </c>
      <c r="Y23" t="s">
        <v>133</v>
      </c>
      <c r="AA23">
        <v>30</v>
      </c>
    </row>
    <row r="24" spans="1:27" x14ac:dyDescent="0.25">
      <c r="A24" t="s">
        <v>179</v>
      </c>
      <c r="B24" t="s">
        <v>72</v>
      </c>
      <c r="C24" t="s">
        <v>73</v>
      </c>
      <c r="D24" t="s">
        <v>179</v>
      </c>
      <c r="E24">
        <v>0</v>
      </c>
      <c r="G24">
        <v>0.154</v>
      </c>
      <c r="H24">
        <v>0.154</v>
      </c>
      <c r="I24" t="s">
        <v>233</v>
      </c>
      <c r="J24" t="s">
        <v>143</v>
      </c>
      <c r="K24" s="45">
        <v>45931.125</v>
      </c>
      <c r="M24" t="s">
        <v>269</v>
      </c>
      <c r="N24" t="s">
        <v>168</v>
      </c>
      <c r="O24" t="s">
        <v>76</v>
      </c>
      <c r="P24" t="s">
        <v>270</v>
      </c>
      <c r="Q24" t="s">
        <v>77</v>
      </c>
      <c r="R24" t="s">
        <v>168</v>
      </c>
      <c r="S24" t="s">
        <v>77</v>
      </c>
      <c r="T24" t="s">
        <v>79</v>
      </c>
      <c r="U24" t="s">
        <v>80</v>
      </c>
      <c r="V24" t="s">
        <v>169</v>
      </c>
      <c r="W24" t="s">
        <v>82</v>
      </c>
      <c r="X24" t="b">
        <v>1</v>
      </c>
      <c r="Y24" t="s">
        <v>168</v>
      </c>
      <c r="AA24">
        <v>30</v>
      </c>
    </row>
    <row r="25" spans="1:27" x14ac:dyDescent="0.25">
      <c r="A25" t="s">
        <v>179</v>
      </c>
      <c r="B25" t="s">
        <v>72</v>
      </c>
      <c r="C25" t="s">
        <v>73</v>
      </c>
      <c r="D25" t="s">
        <v>179</v>
      </c>
      <c r="E25">
        <v>0</v>
      </c>
      <c r="G25">
        <v>2545.3301000000001</v>
      </c>
      <c r="H25">
        <v>2545.3301000000001</v>
      </c>
      <c r="I25" t="s">
        <v>233</v>
      </c>
      <c r="J25" t="s">
        <v>143</v>
      </c>
      <c r="K25" s="45">
        <v>45108.125</v>
      </c>
      <c r="M25" t="s">
        <v>271</v>
      </c>
      <c r="N25" t="s">
        <v>84</v>
      </c>
      <c r="O25" t="s">
        <v>76</v>
      </c>
      <c r="P25" t="s">
        <v>272</v>
      </c>
      <c r="Q25" t="s">
        <v>77</v>
      </c>
      <c r="R25" t="s">
        <v>85</v>
      </c>
      <c r="S25" t="s">
        <v>77</v>
      </c>
      <c r="T25" t="s">
        <v>79</v>
      </c>
      <c r="U25" t="s">
        <v>80</v>
      </c>
      <c r="V25" t="s">
        <v>86</v>
      </c>
      <c r="W25" t="s">
        <v>82</v>
      </c>
      <c r="X25" t="b">
        <v>1</v>
      </c>
      <c r="Y25" t="s">
        <v>85</v>
      </c>
      <c r="AA25">
        <v>30</v>
      </c>
    </row>
    <row r="26" spans="1:27" x14ac:dyDescent="0.25">
      <c r="A26" t="s">
        <v>179</v>
      </c>
      <c r="B26" t="s">
        <v>72</v>
      </c>
      <c r="C26" t="s">
        <v>73</v>
      </c>
      <c r="D26" t="s">
        <v>179</v>
      </c>
      <c r="E26">
        <v>0</v>
      </c>
      <c r="G26">
        <v>5.1000000000000004E-3</v>
      </c>
      <c r="H26">
        <v>5.1000000000000004E-3</v>
      </c>
      <c r="I26" t="s">
        <v>233</v>
      </c>
      <c r="J26" t="s">
        <v>143</v>
      </c>
      <c r="K26" s="45">
        <v>45931.125</v>
      </c>
      <c r="M26" t="s">
        <v>273</v>
      </c>
      <c r="N26" t="s">
        <v>160</v>
      </c>
      <c r="O26" t="s">
        <v>76</v>
      </c>
      <c r="P26" t="s">
        <v>274</v>
      </c>
      <c r="Q26" t="s">
        <v>77</v>
      </c>
      <c r="R26" t="s">
        <v>161</v>
      </c>
      <c r="S26" t="s">
        <v>77</v>
      </c>
      <c r="T26" t="s">
        <v>79</v>
      </c>
      <c r="U26" t="s">
        <v>80</v>
      </c>
      <c r="V26" t="s">
        <v>81</v>
      </c>
      <c r="W26" t="s">
        <v>82</v>
      </c>
      <c r="X26" t="b">
        <v>1</v>
      </c>
      <c r="Y26" t="s">
        <v>161</v>
      </c>
      <c r="AA26">
        <v>30</v>
      </c>
    </row>
    <row r="27" spans="1:27" x14ac:dyDescent="0.25">
      <c r="A27" t="s">
        <v>179</v>
      </c>
      <c r="B27" t="s">
        <v>72</v>
      </c>
      <c r="C27" t="s">
        <v>73</v>
      </c>
      <c r="D27" t="s">
        <v>179</v>
      </c>
      <c r="E27">
        <v>0</v>
      </c>
      <c r="G27">
        <v>1298.3235999999999</v>
      </c>
      <c r="H27">
        <v>1298.3235999999999</v>
      </c>
      <c r="I27" t="s">
        <v>233</v>
      </c>
      <c r="J27" t="s">
        <v>143</v>
      </c>
      <c r="K27" s="45">
        <v>45108.125</v>
      </c>
      <c r="M27" t="s">
        <v>275</v>
      </c>
      <c r="N27" t="s">
        <v>97</v>
      </c>
      <c r="O27" t="s">
        <v>76</v>
      </c>
      <c r="P27" t="s">
        <v>276</v>
      </c>
      <c r="Q27" t="s">
        <v>77</v>
      </c>
      <c r="R27" t="s">
        <v>98</v>
      </c>
      <c r="S27" t="s">
        <v>77</v>
      </c>
      <c r="T27" t="s">
        <v>79</v>
      </c>
      <c r="U27" t="s">
        <v>80</v>
      </c>
      <c r="V27" t="s">
        <v>86</v>
      </c>
      <c r="W27" t="s">
        <v>82</v>
      </c>
      <c r="X27" t="b">
        <v>1</v>
      </c>
      <c r="Y27" t="s">
        <v>98</v>
      </c>
      <c r="AA27">
        <v>30</v>
      </c>
    </row>
    <row r="28" spans="1:27" x14ac:dyDescent="0.25">
      <c r="A28" t="s">
        <v>179</v>
      </c>
      <c r="B28" t="s">
        <v>72</v>
      </c>
      <c r="C28" t="s">
        <v>73</v>
      </c>
      <c r="D28" t="s">
        <v>179</v>
      </c>
      <c r="E28">
        <v>0</v>
      </c>
      <c r="G28">
        <v>22825.863799999999</v>
      </c>
      <c r="H28">
        <v>22825.863799999999</v>
      </c>
      <c r="I28" t="s">
        <v>233</v>
      </c>
      <c r="J28" t="s">
        <v>143</v>
      </c>
      <c r="K28" s="45">
        <v>45170.125</v>
      </c>
      <c r="M28" t="s">
        <v>277</v>
      </c>
      <c r="N28" t="s">
        <v>149</v>
      </c>
      <c r="O28" t="s">
        <v>76</v>
      </c>
      <c r="P28" t="s">
        <v>278</v>
      </c>
      <c r="Q28" t="s">
        <v>77</v>
      </c>
      <c r="R28" t="s">
        <v>150</v>
      </c>
      <c r="S28" t="s">
        <v>77</v>
      </c>
      <c r="T28" t="s">
        <v>79</v>
      </c>
      <c r="U28" t="s">
        <v>80</v>
      </c>
      <c r="V28" t="s">
        <v>86</v>
      </c>
      <c r="W28" t="s">
        <v>82</v>
      </c>
      <c r="X28" t="b">
        <v>1</v>
      </c>
      <c r="Y28" t="s">
        <v>150</v>
      </c>
      <c r="AA28">
        <v>30</v>
      </c>
    </row>
    <row r="29" spans="1:27" x14ac:dyDescent="0.25">
      <c r="A29" t="s">
        <v>179</v>
      </c>
      <c r="B29" t="s">
        <v>72</v>
      </c>
      <c r="C29" t="s">
        <v>73</v>
      </c>
      <c r="D29" t="s">
        <v>179</v>
      </c>
      <c r="E29">
        <v>0</v>
      </c>
      <c r="G29">
        <v>4926.4453999999996</v>
      </c>
      <c r="H29">
        <v>4926.4453999999996</v>
      </c>
      <c r="I29" t="s">
        <v>233</v>
      </c>
      <c r="J29" t="s">
        <v>143</v>
      </c>
      <c r="K29" s="45">
        <v>45108.125</v>
      </c>
      <c r="M29" t="s">
        <v>279</v>
      </c>
      <c r="N29" t="s">
        <v>117</v>
      </c>
      <c r="O29" t="s">
        <v>76</v>
      </c>
      <c r="P29" t="s">
        <v>280</v>
      </c>
      <c r="Q29" t="s">
        <v>77</v>
      </c>
      <c r="R29" t="s">
        <v>118</v>
      </c>
      <c r="S29" t="s">
        <v>77</v>
      </c>
      <c r="T29" t="s">
        <v>79</v>
      </c>
      <c r="U29" t="s">
        <v>80</v>
      </c>
      <c r="V29" t="s">
        <v>86</v>
      </c>
      <c r="W29" t="s">
        <v>82</v>
      </c>
      <c r="X29" t="b">
        <v>1</v>
      </c>
      <c r="Y29" t="s">
        <v>118</v>
      </c>
      <c r="AA29">
        <v>30</v>
      </c>
    </row>
    <row r="30" spans="1:27" x14ac:dyDescent="0.25">
      <c r="A30" t="s">
        <v>179</v>
      </c>
      <c r="B30" t="s">
        <v>72</v>
      </c>
      <c r="C30" t="s">
        <v>73</v>
      </c>
      <c r="D30" t="s">
        <v>179</v>
      </c>
      <c r="E30">
        <v>0</v>
      </c>
      <c r="G30">
        <v>821.07420000000002</v>
      </c>
      <c r="H30">
        <v>821.07420000000002</v>
      </c>
      <c r="I30" t="s">
        <v>233</v>
      </c>
      <c r="J30" t="s">
        <v>143</v>
      </c>
      <c r="K30" s="45">
        <v>45108.125</v>
      </c>
      <c r="M30" t="s">
        <v>281</v>
      </c>
      <c r="N30" t="s">
        <v>107</v>
      </c>
      <c r="O30" t="s">
        <v>76</v>
      </c>
      <c r="P30" t="s">
        <v>282</v>
      </c>
      <c r="Q30" t="s">
        <v>77</v>
      </c>
      <c r="R30" t="s">
        <v>108</v>
      </c>
      <c r="S30" t="s">
        <v>77</v>
      </c>
      <c r="T30" t="s">
        <v>79</v>
      </c>
      <c r="U30" t="s">
        <v>80</v>
      </c>
      <c r="V30" t="s">
        <v>86</v>
      </c>
      <c r="W30" t="s">
        <v>82</v>
      </c>
      <c r="X30" t="b">
        <v>1</v>
      </c>
      <c r="Y30" t="s">
        <v>108</v>
      </c>
      <c r="AA30">
        <v>30</v>
      </c>
    </row>
    <row r="31" spans="1:27" x14ac:dyDescent="0.25">
      <c r="A31" t="s">
        <v>179</v>
      </c>
      <c r="B31" t="s">
        <v>72</v>
      </c>
      <c r="C31" t="s">
        <v>73</v>
      </c>
      <c r="D31" t="s">
        <v>179</v>
      </c>
      <c r="E31">
        <v>0</v>
      </c>
      <c r="G31">
        <v>1.9699999999999999E-2</v>
      </c>
      <c r="H31">
        <v>1.9699999999999999E-2</v>
      </c>
      <c r="I31" t="s">
        <v>233</v>
      </c>
      <c r="J31" t="s">
        <v>143</v>
      </c>
      <c r="K31" s="45">
        <v>45931.125</v>
      </c>
      <c r="M31" t="s">
        <v>283</v>
      </c>
      <c r="N31" t="s">
        <v>119</v>
      </c>
      <c r="O31" t="s">
        <v>76</v>
      </c>
      <c r="P31" t="s">
        <v>284</v>
      </c>
      <c r="Q31" t="s">
        <v>77</v>
      </c>
      <c r="R31" t="s">
        <v>120</v>
      </c>
      <c r="S31" t="s">
        <v>77</v>
      </c>
      <c r="T31" t="s">
        <v>79</v>
      </c>
      <c r="U31" t="s">
        <v>80</v>
      </c>
      <c r="V31" t="s">
        <v>121</v>
      </c>
      <c r="W31" t="s">
        <v>82</v>
      </c>
      <c r="X31" t="b">
        <v>1</v>
      </c>
      <c r="Y31" t="s">
        <v>122</v>
      </c>
      <c r="AA31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9024B-351D-4D10-BA3E-2CF329C908B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Usage</vt:lpstr>
      <vt:lpstr>Calculator</vt:lpstr>
      <vt:lpstr>Sentinel prices</vt:lpstr>
      <vt:lpstr>URL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Marko Lauren</dc:creator>
  <cp:keywords/>
  <dc:description/>
  <cp:lastModifiedBy>Marko Lauren</cp:lastModifiedBy>
  <cp:revision/>
  <dcterms:created xsi:type="dcterms:W3CDTF">2024-03-27T15:09:47Z</dcterms:created>
  <dcterms:modified xsi:type="dcterms:W3CDTF">2025-10-31T11:34:16Z</dcterms:modified>
  <cp:category/>
  <cp:contentStatus/>
</cp:coreProperties>
</file>